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Crop Budgets/Estimating Tool (Vegetable)/"/>
    </mc:Choice>
  </mc:AlternateContent>
  <xr:revisionPtr revIDLastSave="308" documentId="8_{1436DBAD-9DF3-4970-9404-EA843D828787}" xr6:coauthVersionLast="47" xr6:coauthVersionMax="47" xr10:uidLastSave="{62526DD8-484A-4578-9E8C-6455BC409C1F}"/>
  <workbookProtection workbookAlgorithmName="SHA-512" workbookHashValue="YID0JrZ2mSPGZEe1cLGkYDMyBfOQecu1XTe6HBjlyWpmeKwa4o6F8hn4/D+bkPqkjbRXUUKKnT4JCu7YnQDdAw==" workbookSaltValue="MIHVyXOLQbWyvdK5zUPB1g==" workbookSpinCount="100000" lockStructure="1"/>
  <bookViews>
    <workbookView xWindow="-120" yWindow="-120" windowWidth="29040" windowHeight="15840" tabRatio="947" xr2:uid="{00000000-000D-0000-FFFF-FFFF00000000}"/>
  </bookViews>
  <sheets>
    <sheet name="Estimating Tool Instructions" sheetId="16" r:id="rId1"/>
    <sheet name="Crop Budget (Main)" sheetId="22" r:id="rId2"/>
    <sheet name="Financial Info" sheetId="26" r:id="rId3"/>
    <sheet name="Raised Bed Calculator" sheetId="27" r:id="rId4"/>
    <sheet name="Chart Data" sheetId="23" state="hidden" r:id="rId5"/>
    <sheet name="Charts" sheetId="25" state="hidden" r:id="rId6"/>
    <sheet name="Optimization" sheetId="24" r:id="rId7"/>
    <sheet name="Chemical Master List" sheetId="4" state="hidden" r:id="rId8"/>
  </sheets>
  <definedNames>
    <definedName name="Adjuvants">#REF!</definedName>
    <definedName name="Chemicals">'Chemical Master List'!$A$1:$A$82</definedName>
    <definedName name="Foliars">'Chemical Master List'!$A$95:$A$102</definedName>
    <definedName name="Fungicides" localSheetId="3">#REF!</definedName>
    <definedName name="Fungicides">'Chemical Master List'!$A$85:$A$92</definedName>
    <definedName name="Herbicides">#REF!</definedName>
    <definedName name="Insecticides">#REF!</definedName>
    <definedName name="Lime" localSheetId="3">#REF!</definedName>
    <definedName name="Lime">#REF!</definedName>
    <definedName name="Macronutrients" localSheetId="3">#REF!</definedName>
    <definedName name="Macronutrients">#REF!</definedName>
    <definedName name="Micronutrients" localSheetId="3">#REF!</definedName>
    <definedName name="Micronutrients">#REF!</definedName>
    <definedName name="Moisture">#REF!</definedName>
    <definedName name="NitrogenStabilizers" localSheetId="3">#REF!</definedName>
    <definedName name="NitrogenStabilizers">#REF!</definedName>
    <definedName name="_xlnm.Print_Area" localSheetId="1">'Crop Budget (Main)'!$A$1:$P$190</definedName>
    <definedName name="_xlnm.Print_Area" localSheetId="0">'Estimating Tool Instructions'!$A$1:$R$18</definedName>
    <definedName name="_xlnm.Print_Area" localSheetId="3">'Raised Bed Calculator'!#REF!,'Raised Bed Calculator'!#REF!,'Raised Bed Calculator'!#REF!</definedName>
    <definedName name="VegetableChemical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7" l="1"/>
  <c r="B22" i="27"/>
  <c r="D22" i="27"/>
  <c r="F22" i="27"/>
  <c r="D25" i="27" s="1"/>
  <c r="F25" i="27" s="1"/>
  <c r="D33" i="27"/>
  <c r="F33" i="27"/>
  <c r="N15" i="26"/>
  <c r="N11" i="26"/>
  <c r="N7" i="26"/>
  <c r="N3" i="26"/>
  <c r="I15" i="26"/>
  <c r="I11" i="26"/>
  <c r="I7" i="26"/>
  <c r="I3" i="26"/>
  <c r="D15" i="26"/>
  <c r="D11" i="26"/>
  <c r="D7" i="26"/>
  <c r="D3" i="26"/>
  <c r="N112" i="22"/>
  <c r="N111" i="22"/>
  <c r="I112" i="22"/>
  <c r="I111" i="22"/>
  <c r="H111" i="22"/>
  <c r="H112" i="22"/>
  <c r="M111" i="22"/>
  <c r="M112" i="22"/>
  <c r="N108" i="22"/>
  <c r="N107" i="22"/>
  <c r="I108" i="22"/>
  <c r="I107" i="22"/>
  <c r="D112" i="22"/>
  <c r="D111" i="22"/>
  <c r="D108" i="22"/>
  <c r="D107" i="22"/>
  <c r="M54" i="22" l="1"/>
  <c r="M47" i="22"/>
  <c r="M52" i="22"/>
  <c r="M48" i="22"/>
  <c r="M44" i="22"/>
  <c r="H54" i="22"/>
  <c r="C54" i="22"/>
  <c r="H52" i="22"/>
  <c r="H44" i="22"/>
  <c r="C44" i="22"/>
  <c r="C52" i="22"/>
  <c r="B6" i="24"/>
  <c r="B12" i="24" s="1"/>
  <c r="B5" i="24"/>
  <c r="B11" i="24" s="1"/>
  <c r="B4" i="24"/>
  <c r="B10" i="24" s="1"/>
  <c r="C17" i="22"/>
  <c r="D17" i="22"/>
  <c r="E4" i="24" s="1"/>
  <c r="N17" i="22"/>
  <c r="I17" i="22"/>
  <c r="E5" i="24" s="1"/>
  <c r="H22" i="26"/>
  <c r="M22" i="26"/>
  <c r="D55" i="22"/>
  <c r="J2" i="23" s="1"/>
  <c r="D66" i="22"/>
  <c r="D74" i="22"/>
  <c r="D65" i="22"/>
  <c r="J3" i="23" s="1"/>
  <c r="O60" i="22"/>
  <c r="O61" i="22"/>
  <c r="O62" i="22"/>
  <c r="O63" i="22"/>
  <c r="O64" i="22"/>
  <c r="J60" i="22"/>
  <c r="J61" i="22"/>
  <c r="J62" i="22"/>
  <c r="J63" i="22"/>
  <c r="J64" i="22"/>
  <c r="E60" i="22"/>
  <c r="E61" i="22"/>
  <c r="E62" i="22"/>
  <c r="E63" i="22"/>
  <c r="E64" i="22"/>
  <c r="M65" i="22"/>
  <c r="M74" i="22"/>
  <c r="H65" i="22"/>
  <c r="H74" i="22"/>
  <c r="C74" i="22"/>
  <c r="C65" i="22"/>
  <c r="M17" i="22"/>
  <c r="M96" i="22" s="1"/>
  <c r="M11" i="26" s="1"/>
  <c r="H17" i="22"/>
  <c r="H92" i="22" s="1"/>
  <c r="H7" i="26" s="1"/>
  <c r="P125" i="22"/>
  <c r="P22" i="26" s="1"/>
  <c r="O125" i="22"/>
  <c r="O22" i="26"/>
  <c r="N125" i="22"/>
  <c r="N22" i="26" s="1"/>
  <c r="K125" i="22"/>
  <c r="K22" i="26" s="1"/>
  <c r="J125" i="22"/>
  <c r="J22" i="26" s="1"/>
  <c r="I125" i="22"/>
  <c r="I22" i="26"/>
  <c r="F125" i="22"/>
  <c r="F22" i="26" s="1"/>
  <c r="E125" i="22"/>
  <c r="E22" i="26" s="1"/>
  <c r="D125" i="22"/>
  <c r="D22" i="26" s="1"/>
  <c r="K42" i="22"/>
  <c r="F42" i="22"/>
  <c r="P17" i="22"/>
  <c r="AA54" i="22"/>
  <c r="Z54" i="22"/>
  <c r="Z55" i="22" s="1"/>
  <c r="Z39" i="22"/>
  <c r="AC39" i="22" s="1"/>
  <c r="AA39" i="22"/>
  <c r="X30" i="22"/>
  <c r="U30" i="22"/>
  <c r="W30" i="22" s="1"/>
  <c r="X29" i="22"/>
  <c r="U29" i="22" s="1"/>
  <c r="W29" i="22" s="1"/>
  <c r="X28" i="22"/>
  <c r="X24" i="22"/>
  <c r="U28" i="22" s="1"/>
  <c r="W28" i="22" s="1"/>
  <c r="X23" i="22"/>
  <c r="U23" i="22" s="1"/>
  <c r="W23" i="22" s="1"/>
  <c r="P26" i="22"/>
  <c r="K26" i="22"/>
  <c r="F26" i="22"/>
  <c r="E28" i="22"/>
  <c r="F28" i="22"/>
  <c r="J28" i="22"/>
  <c r="K28" i="22"/>
  <c r="O28" i="22"/>
  <c r="P28" i="22"/>
  <c r="E29" i="22"/>
  <c r="J29" i="22"/>
  <c r="O29" i="22"/>
  <c r="O25" i="22"/>
  <c r="O26" i="22"/>
  <c r="O27" i="22"/>
  <c r="E26" i="22"/>
  <c r="E27" i="22"/>
  <c r="J26" i="22"/>
  <c r="J27" i="22"/>
  <c r="N55" i="22"/>
  <c r="N66" i="22" s="1"/>
  <c r="N65" i="22"/>
  <c r="L3" i="23"/>
  <c r="I55" i="22"/>
  <c r="I56" i="22" s="1"/>
  <c r="K56" i="22" s="1"/>
  <c r="I65" i="22"/>
  <c r="K3" i="23" s="1"/>
  <c r="E6" i="24"/>
  <c r="C6" i="24"/>
  <c r="C5" i="24"/>
  <c r="C4" i="24"/>
  <c r="C13" i="24"/>
  <c r="C12" i="24"/>
  <c r="C11" i="24"/>
  <c r="C10" i="24"/>
  <c r="D29" i="23"/>
  <c r="D30" i="23"/>
  <c r="D28" i="23" s="1"/>
  <c r="D22" i="23"/>
  <c r="D23" i="23"/>
  <c r="D24" i="23"/>
  <c r="D19" i="23"/>
  <c r="D20" i="23"/>
  <c r="D16" i="23"/>
  <c r="D17" i="23"/>
  <c r="D9" i="23"/>
  <c r="D8" i="23" s="1"/>
  <c r="D10" i="23"/>
  <c r="D11" i="23"/>
  <c r="D4" i="23"/>
  <c r="D5" i="23"/>
  <c r="D6" i="23"/>
  <c r="D7" i="23"/>
  <c r="D12" i="23"/>
  <c r="D13" i="23"/>
  <c r="D14" i="23"/>
  <c r="D25" i="23"/>
  <c r="D26" i="23"/>
  <c r="D27" i="23"/>
  <c r="D31" i="23"/>
  <c r="D32" i="23"/>
  <c r="D33" i="23"/>
  <c r="D2" i="23"/>
  <c r="D44" i="23"/>
  <c r="C44" i="23"/>
  <c r="C42" i="23"/>
  <c r="C32" i="23"/>
  <c r="D42" i="23"/>
  <c r="D41" i="23"/>
  <c r="C41" i="23"/>
  <c r="D40" i="23"/>
  <c r="C40" i="23"/>
  <c r="D35" i="23"/>
  <c r="D36" i="23"/>
  <c r="D37" i="23"/>
  <c r="D38" i="23"/>
  <c r="D34" i="23"/>
  <c r="C38" i="23"/>
  <c r="C35" i="23"/>
  <c r="C36" i="23"/>
  <c r="C37" i="23"/>
  <c r="C34" i="23"/>
  <c r="B34" i="23"/>
  <c r="C16" i="23"/>
  <c r="C15" i="23" s="1"/>
  <c r="C17" i="23"/>
  <c r="C19" i="23"/>
  <c r="C20" i="23"/>
  <c r="C22" i="23"/>
  <c r="C21" i="23" s="1"/>
  <c r="C23" i="23"/>
  <c r="C24" i="23"/>
  <c r="C29" i="23"/>
  <c r="C30" i="23"/>
  <c r="B29" i="23"/>
  <c r="B30" i="23"/>
  <c r="B22" i="23"/>
  <c r="B23" i="23"/>
  <c r="B24" i="23"/>
  <c r="B19" i="23"/>
  <c r="B18" i="23" s="1"/>
  <c r="B20" i="23"/>
  <c r="B16" i="23"/>
  <c r="B17" i="23"/>
  <c r="C9" i="23"/>
  <c r="C10" i="23"/>
  <c r="C11" i="23"/>
  <c r="B9" i="23"/>
  <c r="B10" i="23"/>
  <c r="B11" i="23"/>
  <c r="C4" i="23"/>
  <c r="C5" i="23"/>
  <c r="C6" i="23"/>
  <c r="C7" i="23"/>
  <c r="C12" i="23"/>
  <c r="C13" i="23"/>
  <c r="C14" i="23"/>
  <c r="C25" i="23"/>
  <c r="C26" i="23"/>
  <c r="C27" i="23"/>
  <c r="C31" i="23"/>
  <c r="C33" i="23"/>
  <c r="C2" i="23"/>
  <c r="K2" i="23"/>
  <c r="B4" i="23"/>
  <c r="B5" i="23"/>
  <c r="B6" i="23"/>
  <c r="B7" i="23"/>
  <c r="B38" i="23"/>
  <c r="B33" i="23"/>
  <c r="B42" i="23"/>
  <c r="B32" i="23"/>
  <c r="B41" i="23"/>
  <c r="B44" i="23"/>
  <c r="B40" i="23"/>
  <c r="B35" i="23"/>
  <c r="B36" i="23"/>
  <c r="B37" i="23"/>
  <c r="B12" i="23"/>
  <c r="B13" i="23"/>
  <c r="B14" i="23"/>
  <c r="B25" i="23"/>
  <c r="B26" i="23"/>
  <c r="B27" i="23"/>
  <c r="B31" i="23"/>
  <c r="B2" i="23"/>
  <c r="I96" i="22"/>
  <c r="N92" i="22"/>
  <c r="I92" i="22"/>
  <c r="D96" i="22"/>
  <c r="D92" i="22"/>
  <c r="I82" i="22"/>
  <c r="I74" i="22"/>
  <c r="N74" i="22"/>
  <c r="N82" i="22"/>
  <c r="D82" i="22"/>
  <c r="D83" i="22" s="1"/>
  <c r="P81" i="22"/>
  <c r="P80" i="22"/>
  <c r="P82" i="22"/>
  <c r="K81" i="22"/>
  <c r="K80" i="22"/>
  <c r="F81" i="22"/>
  <c r="F80" i="22"/>
  <c r="F82" i="22"/>
  <c r="O81" i="22"/>
  <c r="J81" i="22"/>
  <c r="E81" i="22"/>
  <c r="O80" i="22"/>
  <c r="J80" i="22"/>
  <c r="E80" i="22"/>
  <c r="F64" i="22"/>
  <c r="K64" i="22"/>
  <c r="P64" i="22"/>
  <c r="O72" i="22"/>
  <c r="O73" i="22"/>
  <c r="J72" i="22"/>
  <c r="J73" i="22"/>
  <c r="E72" i="22"/>
  <c r="E73" i="22"/>
  <c r="F63" i="22"/>
  <c r="K63" i="22"/>
  <c r="P63" i="22"/>
  <c r="O22" i="22"/>
  <c r="O23" i="22"/>
  <c r="O24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J22" i="22"/>
  <c r="J23" i="22"/>
  <c r="J24" i="22"/>
  <c r="J25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E22" i="22"/>
  <c r="E23" i="22"/>
  <c r="E24" i="22"/>
  <c r="E25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P53" i="22"/>
  <c r="K53" i="22"/>
  <c r="F53" i="22"/>
  <c r="P21" i="22"/>
  <c r="P23" i="22"/>
  <c r="P24" i="22"/>
  <c r="P25" i="22"/>
  <c r="P27" i="22"/>
  <c r="P30" i="22"/>
  <c r="P31" i="22"/>
  <c r="P32" i="22"/>
  <c r="P33" i="22"/>
  <c r="P34" i="22"/>
  <c r="P35" i="22"/>
  <c r="P37" i="22"/>
  <c r="P38" i="22"/>
  <c r="P40" i="22"/>
  <c r="P41" i="22"/>
  <c r="P43" i="22"/>
  <c r="P44" i="22"/>
  <c r="P45" i="22"/>
  <c r="P46" i="22"/>
  <c r="P47" i="22"/>
  <c r="P48" i="22"/>
  <c r="P50" i="22"/>
  <c r="P51" i="22"/>
  <c r="P54" i="22"/>
  <c r="P52" i="22"/>
  <c r="K21" i="22"/>
  <c r="K23" i="22"/>
  <c r="K24" i="22"/>
  <c r="K25" i="22"/>
  <c r="K55" i="22" s="1"/>
  <c r="K27" i="22"/>
  <c r="K30" i="22"/>
  <c r="K31" i="22"/>
  <c r="K32" i="22"/>
  <c r="K33" i="22"/>
  <c r="K34" i="22"/>
  <c r="K35" i="22"/>
  <c r="K37" i="22"/>
  <c r="K38" i="22"/>
  <c r="K40" i="22"/>
  <c r="K41" i="22"/>
  <c r="K43" i="22"/>
  <c r="K44" i="22"/>
  <c r="K45" i="22"/>
  <c r="K46" i="22"/>
  <c r="K47" i="22"/>
  <c r="K48" i="22"/>
  <c r="K50" i="22"/>
  <c r="K51" i="22"/>
  <c r="K54" i="22"/>
  <c r="K52" i="22"/>
  <c r="F21" i="22"/>
  <c r="F55" i="22" s="1"/>
  <c r="F23" i="22"/>
  <c r="F24" i="22"/>
  <c r="F25" i="22"/>
  <c r="F27" i="22"/>
  <c r="F30" i="22"/>
  <c r="F31" i="22"/>
  <c r="F32" i="22"/>
  <c r="F33" i="22"/>
  <c r="F34" i="22"/>
  <c r="F35" i="22"/>
  <c r="F37" i="22"/>
  <c r="F38" i="22"/>
  <c r="F40" i="22"/>
  <c r="F41" i="22"/>
  <c r="F43" i="22"/>
  <c r="F44" i="22"/>
  <c r="F45" i="22"/>
  <c r="F46" i="22"/>
  <c r="F47" i="22"/>
  <c r="F48" i="22"/>
  <c r="F50" i="22"/>
  <c r="F51" i="22"/>
  <c r="F54" i="22"/>
  <c r="F52" i="22"/>
  <c r="F59" i="22"/>
  <c r="F65" i="22" s="1"/>
  <c r="F60" i="22"/>
  <c r="F62" i="22"/>
  <c r="F61" i="22"/>
  <c r="P61" i="22"/>
  <c r="K17" i="22"/>
  <c r="K61" i="22"/>
  <c r="F17" i="22"/>
  <c r="P59" i="22"/>
  <c r="P60" i="22"/>
  <c r="P65" i="22" s="1"/>
  <c r="P62" i="22"/>
  <c r="K59" i="22"/>
  <c r="K65" i="22" s="1"/>
  <c r="K60" i="22"/>
  <c r="K62" i="22"/>
  <c r="P71" i="22"/>
  <c r="P72" i="22"/>
  <c r="P74" i="22" s="1"/>
  <c r="P73" i="22"/>
  <c r="K71" i="22"/>
  <c r="K74" i="22" s="1"/>
  <c r="K72" i="22"/>
  <c r="K73" i="22"/>
  <c r="F71" i="22"/>
  <c r="F74" i="22" s="1"/>
  <c r="F72" i="22"/>
  <c r="F73" i="22"/>
  <c r="O21" i="22"/>
  <c r="J21" i="22"/>
  <c r="O71" i="22"/>
  <c r="J71" i="22"/>
  <c r="E71" i="22"/>
  <c r="O59" i="22"/>
  <c r="J59" i="22"/>
  <c r="E59" i="22"/>
  <c r="E21" i="22"/>
  <c r="N56" i="22"/>
  <c r="P56" i="22" s="1"/>
  <c r="P55" i="22"/>
  <c r="P66" i="22" s="1"/>
  <c r="K82" i="22"/>
  <c r="S44" i="22"/>
  <c r="U44" i="22" s="1"/>
  <c r="T44" i="22"/>
  <c r="T43" i="22" s="1"/>
  <c r="L2" i="23"/>
  <c r="U24" i="22"/>
  <c r="W24" i="22"/>
  <c r="Z40" i="22"/>
  <c r="AA40" i="22"/>
  <c r="D75" i="22"/>
  <c r="D116" i="22"/>
  <c r="J4" i="23"/>
  <c r="D56" i="22"/>
  <c r="F56" i="22"/>
  <c r="N96" i="22"/>
  <c r="AC40" i="22"/>
  <c r="D76" i="22"/>
  <c r="F76" i="22"/>
  <c r="M55" i="22" l="1"/>
  <c r="M66" i="22" s="1"/>
  <c r="M115" i="22" s="1"/>
  <c r="M92" i="22"/>
  <c r="M7" i="26" s="1"/>
  <c r="H55" i="22"/>
  <c r="H56" i="22" s="1"/>
  <c r="C55" i="22"/>
  <c r="C66" i="22" s="1"/>
  <c r="C107" i="22" s="1"/>
  <c r="H66" i="22"/>
  <c r="H116" i="22" s="1"/>
  <c r="B3" i="23"/>
  <c r="C3" i="23"/>
  <c r="B15" i="23"/>
  <c r="D39" i="23"/>
  <c r="B39" i="23"/>
  <c r="B8" i="23"/>
  <c r="B21" i="23"/>
  <c r="B28" i="23"/>
  <c r="C18" i="23"/>
  <c r="D18" i="23"/>
  <c r="D43" i="23"/>
  <c r="D3" i="23"/>
  <c r="D21" i="23"/>
  <c r="K8" i="23"/>
  <c r="J8" i="23"/>
  <c r="C96" i="22"/>
  <c r="C11" i="26" s="1"/>
  <c r="C92" i="22"/>
  <c r="C7" i="26" s="1"/>
  <c r="W31" i="22"/>
  <c r="K66" i="22"/>
  <c r="D119" i="22"/>
  <c r="D120" i="22"/>
  <c r="F83" i="22"/>
  <c r="D84" i="22"/>
  <c r="F84" i="22" s="1"/>
  <c r="N88" i="22"/>
  <c r="N115" i="22"/>
  <c r="F6" i="24"/>
  <c r="G6" i="24" s="1"/>
  <c r="N75" i="22"/>
  <c r="N116" i="22"/>
  <c r="L4" i="23"/>
  <c r="N67" i="22"/>
  <c r="F66" i="22"/>
  <c r="D67" i="22"/>
  <c r="C39" i="23"/>
  <c r="I66" i="22"/>
  <c r="AA55" i="22"/>
  <c r="L8" i="23"/>
  <c r="H96" i="22"/>
  <c r="H11" i="26" s="1"/>
  <c r="D88" i="22"/>
  <c r="F75" i="22"/>
  <c r="F4" i="24"/>
  <c r="G4" i="24" s="1"/>
  <c r="S59" i="22"/>
  <c r="U25" i="22"/>
  <c r="W25" i="22" s="1"/>
  <c r="W26" i="22" s="1"/>
  <c r="W33" i="22" s="1"/>
  <c r="C8" i="23"/>
  <c r="D115" i="22"/>
  <c r="C28" i="23"/>
  <c r="D15" i="23"/>
  <c r="B43" i="23"/>
  <c r="C43" i="23"/>
  <c r="M56" i="22" l="1"/>
  <c r="M88" i="22"/>
  <c r="M3" i="26" s="1"/>
  <c r="M116" i="22"/>
  <c r="M67" i="22"/>
  <c r="M100" i="22" s="1"/>
  <c r="M15" i="26" s="1"/>
  <c r="M108" i="22"/>
  <c r="M75" i="22"/>
  <c r="M107" i="22"/>
  <c r="C56" i="22"/>
  <c r="H88" i="22"/>
  <c r="H3" i="26" s="1"/>
  <c r="H115" i="22"/>
  <c r="H67" i="22"/>
  <c r="H100" i="22" s="1"/>
  <c r="H15" i="26" s="1"/>
  <c r="H107" i="22"/>
  <c r="H75" i="22"/>
  <c r="H76" i="22" s="1"/>
  <c r="H108" i="22"/>
  <c r="C116" i="22"/>
  <c r="C75" i="22"/>
  <c r="C76" i="22" s="1"/>
  <c r="C108" i="22"/>
  <c r="C115" i="22"/>
  <c r="C67" i="22"/>
  <c r="C100" i="22" s="1"/>
  <c r="C15" i="26" s="1"/>
  <c r="C88" i="22"/>
  <c r="C3" i="26" s="1"/>
  <c r="D100" i="22"/>
  <c r="F67" i="22"/>
  <c r="P67" i="22"/>
  <c r="N100" i="22"/>
  <c r="T59" i="22"/>
  <c r="T58" i="22" s="1"/>
  <c r="I88" i="22"/>
  <c r="K4" i="23"/>
  <c r="F5" i="24"/>
  <c r="G5" i="24" s="1"/>
  <c r="C15" i="24" s="1"/>
  <c r="I75" i="22"/>
  <c r="I115" i="22"/>
  <c r="I116" i="22"/>
  <c r="I67" i="22"/>
  <c r="C9" i="24"/>
  <c r="N83" i="22"/>
  <c r="P75" i="22"/>
  <c r="N76" i="22"/>
  <c r="P76" i="22" s="1"/>
  <c r="M76" i="22" l="1"/>
  <c r="C111" i="22"/>
  <c r="C112" i="22"/>
  <c r="N84" i="22"/>
  <c r="P84" i="22" s="1"/>
  <c r="P83" i="22"/>
  <c r="N120" i="22"/>
  <c r="N119" i="22"/>
  <c r="K67" i="22"/>
  <c r="I100" i="22"/>
  <c r="U59" i="22"/>
  <c r="I83" i="22"/>
  <c r="K75" i="22"/>
  <c r="I76" i="22"/>
  <c r="K76" i="22" s="1"/>
  <c r="K83" i="22" l="1"/>
  <c r="I119" i="22"/>
  <c r="I120" i="22"/>
  <c r="I84" i="22"/>
  <c r="K84" i="22" s="1"/>
</calcChain>
</file>

<file path=xl/sharedStrings.xml><?xml version="1.0" encoding="utf-8"?>
<sst xmlns="http://schemas.openxmlformats.org/spreadsheetml/2006/main" count="1886" uniqueCount="572">
  <si>
    <t>Nitrogen</t>
  </si>
  <si>
    <t>Phosphorus</t>
  </si>
  <si>
    <t>Potassium</t>
  </si>
  <si>
    <t>None</t>
  </si>
  <si>
    <t>Tons</t>
  </si>
  <si>
    <t>Gallons</t>
  </si>
  <si>
    <t>Pound</t>
  </si>
  <si>
    <t>Name</t>
  </si>
  <si>
    <t>Selling Unit</t>
  </si>
  <si>
    <t>Rate Unit</t>
  </si>
  <si>
    <t>App Unit</t>
  </si>
  <si>
    <t>qt</t>
  </si>
  <si>
    <t>2,4-D</t>
  </si>
  <si>
    <t>pt</t>
  </si>
  <si>
    <t>Gallon</t>
  </si>
  <si>
    <t>Armezon/Impact</t>
  </si>
  <si>
    <t>oz</t>
  </si>
  <si>
    <t>Ounce</t>
  </si>
  <si>
    <t>Armezon Pro</t>
  </si>
  <si>
    <t>lb</t>
  </si>
  <si>
    <t>Cadet</t>
  </si>
  <si>
    <t>Quart</t>
  </si>
  <si>
    <t>Capreno</t>
  </si>
  <si>
    <t>Corvus</t>
  </si>
  <si>
    <t>Halex GT</t>
  </si>
  <si>
    <t>Lexar EZ</t>
  </si>
  <si>
    <t>Liberty</t>
  </si>
  <si>
    <t>Lumax EZ</t>
  </si>
  <si>
    <t>Outlook</t>
  </si>
  <si>
    <t>Prowl H20</t>
  </si>
  <si>
    <t>Sharpen</t>
  </si>
  <si>
    <t>Verdict</t>
  </si>
  <si>
    <t>Warrant</t>
  </si>
  <si>
    <t>Zidua</t>
  </si>
  <si>
    <t>Ammonium Sulfate</t>
  </si>
  <si>
    <t>Priaxor</t>
  </si>
  <si>
    <t>Stratego YLD</t>
  </si>
  <si>
    <t>Per Acre</t>
  </si>
  <si>
    <t>Seed</t>
  </si>
  <si>
    <t>Fertilizer</t>
  </si>
  <si>
    <t>Custom Hire</t>
  </si>
  <si>
    <t>Driver &amp; Equipment Hire</t>
  </si>
  <si>
    <t>Equipment Hire</t>
  </si>
  <si>
    <t>Crop Insurance</t>
  </si>
  <si>
    <t>Freight &amp; Trucking</t>
  </si>
  <si>
    <t>Gas/Fuel</t>
  </si>
  <si>
    <t>Equipment Fuel</t>
  </si>
  <si>
    <t>Drying Propane</t>
  </si>
  <si>
    <t>Repairs &amp; Maintenance</t>
  </si>
  <si>
    <t>Supplies</t>
  </si>
  <si>
    <t>Storage</t>
  </si>
  <si>
    <t>Utilities</t>
  </si>
  <si>
    <t>Irrigation</t>
  </si>
  <si>
    <t>N</t>
  </si>
  <si>
    <t>P</t>
  </si>
  <si>
    <t>K</t>
  </si>
  <si>
    <t>S</t>
  </si>
  <si>
    <t>Ca</t>
  </si>
  <si>
    <t>Z</t>
  </si>
  <si>
    <t>B</t>
  </si>
  <si>
    <t>Mn</t>
  </si>
  <si>
    <t>Acres</t>
  </si>
  <si>
    <t>Fungicides</t>
  </si>
  <si>
    <t>Repairs</t>
  </si>
  <si>
    <t>Fuel/Electricity</t>
  </si>
  <si>
    <t>Cost/Acre</t>
  </si>
  <si>
    <t>Alfalfa Hay</t>
  </si>
  <si>
    <t>INCOME</t>
  </si>
  <si>
    <t>(Enter Below)</t>
  </si>
  <si>
    <t>Corn Chemicals</t>
  </si>
  <si>
    <t>Boundary</t>
  </si>
  <si>
    <t>Optill</t>
  </si>
  <si>
    <t>Reflex</t>
  </si>
  <si>
    <t>Soybean Chemicals</t>
  </si>
  <si>
    <t>Adjuvants</t>
  </si>
  <si>
    <t>Ammonium Sulfate (Liquid)</t>
  </si>
  <si>
    <t>Ammonium Sulfate (Replacement)</t>
  </si>
  <si>
    <t>Methylated Seed Oil (MSO)</t>
  </si>
  <si>
    <t>Crop Oil Concentrate</t>
  </si>
  <si>
    <t>Drift Agent/Spreader</t>
  </si>
  <si>
    <t>Insecticides</t>
  </si>
  <si>
    <t>Insecticide (pint rate)</t>
  </si>
  <si>
    <t>Insecticide (ounce rate)</t>
  </si>
  <si>
    <t>Insecticide (pound rate)</t>
  </si>
  <si>
    <t>Insecticide (quart rate)</t>
  </si>
  <si>
    <t>Atrazine (Liquid)</t>
  </si>
  <si>
    <t>Atrazine (Dry)</t>
  </si>
  <si>
    <t>Balance Flexx</t>
  </si>
  <si>
    <t>Breakfree NXT/Harness/Surpass NXT</t>
  </si>
  <si>
    <t>Callisto</t>
  </si>
  <si>
    <t>Dual II Magnum/Cinch/Parallel</t>
  </si>
  <si>
    <t>Princep</t>
  </si>
  <si>
    <t>Python/Accolade</t>
  </si>
  <si>
    <t>Resolve SG</t>
  </si>
  <si>
    <t>Valor/Rowell</t>
  </si>
  <si>
    <t>Acuron</t>
  </si>
  <si>
    <t>Acuron Flex</t>
  </si>
  <si>
    <t>Anthem Maxx</t>
  </si>
  <si>
    <t>Anthem ATZ</t>
  </si>
  <si>
    <t>Basis Blend</t>
  </si>
  <si>
    <t>Bicip II Magnum/Cinch ATZ/Parallel Plus</t>
  </si>
  <si>
    <t>Breakfree NXT Lite/Degree XTRA/Fultime NXT/Keystone LA NXT</t>
  </si>
  <si>
    <t>Breakfree NXT ATZ/Harness XTRA/Keystone NXT</t>
  </si>
  <si>
    <t>Fierce</t>
  </si>
  <si>
    <t>Harness Max</t>
  </si>
  <si>
    <t>Hornet WDG/Stanza</t>
  </si>
  <si>
    <t>Instigate</t>
  </si>
  <si>
    <t>Prequel</t>
  </si>
  <si>
    <t>Soil Premix</t>
  </si>
  <si>
    <t>Soil</t>
  </si>
  <si>
    <t>Resicore</t>
  </si>
  <si>
    <t>Surestart II/TripleFlex II</t>
  </si>
  <si>
    <t>Zemax</t>
  </si>
  <si>
    <t>Post</t>
  </si>
  <si>
    <t>Accent Q</t>
  </si>
  <si>
    <t>Aim</t>
  </si>
  <si>
    <t>Banvel/Clarity</t>
  </si>
  <si>
    <t>Basagran/Broadloom</t>
  </si>
  <si>
    <t>Beacon</t>
  </si>
  <si>
    <t>Buctril/Moxy</t>
  </si>
  <si>
    <t>DiFlexx</t>
  </si>
  <si>
    <t>Laudis</t>
  </si>
  <si>
    <t>Permit</t>
  </si>
  <si>
    <t>Resource</t>
  </si>
  <si>
    <t>Stinger</t>
  </si>
  <si>
    <t>Callisto XTRA</t>
  </si>
  <si>
    <t>DiFlexx Duo</t>
  </si>
  <si>
    <t>Realm Q</t>
  </si>
  <si>
    <t>Resolve Q</t>
  </si>
  <si>
    <t>Revulin Q</t>
  </si>
  <si>
    <t>Solstice</t>
  </si>
  <si>
    <t>Status</t>
  </si>
  <si>
    <t>Steadfast Q</t>
  </si>
  <si>
    <t>Yukon</t>
  </si>
  <si>
    <t>Callisto GT</t>
  </si>
  <si>
    <t>Expert</t>
  </si>
  <si>
    <t>Sequence</t>
  </si>
  <si>
    <t>Timing</t>
  </si>
  <si>
    <t>Site of Action</t>
  </si>
  <si>
    <t>Post Pre-Mix</t>
  </si>
  <si>
    <t>Glyphosate</t>
  </si>
  <si>
    <t>14/15</t>
  </si>
  <si>
    <t>15/14/5</t>
  </si>
  <si>
    <t>15/27</t>
  </si>
  <si>
    <t>5/27</t>
  </si>
  <si>
    <t>2/27</t>
  </si>
  <si>
    <t>4/27</t>
  </si>
  <si>
    <t>2/4</t>
  </si>
  <si>
    <t>9/27</t>
  </si>
  <si>
    <t>5/9/15</t>
  </si>
  <si>
    <t>9/15/27</t>
  </si>
  <si>
    <t>2/2</t>
  </si>
  <si>
    <t>9/15</t>
  </si>
  <si>
    <t>14/27</t>
  </si>
  <si>
    <t>4/19</t>
  </si>
  <si>
    <t>5</t>
  </si>
  <si>
    <t>27</t>
  </si>
  <si>
    <t>15</t>
  </si>
  <si>
    <t>3</t>
  </si>
  <si>
    <t>2</t>
  </si>
  <si>
    <t>14</t>
  </si>
  <si>
    <t>9</t>
  </si>
  <si>
    <t>5/15/27/27</t>
  </si>
  <si>
    <t>15/27/27</t>
  </si>
  <si>
    <t>15/14</t>
  </si>
  <si>
    <t>5/15</t>
  </si>
  <si>
    <t>Bicip II Magnum Lite/Cinch ATZ Lite</t>
  </si>
  <si>
    <t>5/27/15</t>
  </si>
  <si>
    <t>4/15/27</t>
  </si>
  <si>
    <t>2/4/15</t>
  </si>
  <si>
    <t>27/15</t>
  </si>
  <si>
    <t>Enlist One</t>
  </si>
  <si>
    <t>Enlist Duo</t>
  </si>
  <si>
    <t>4</t>
  </si>
  <si>
    <t>4/9</t>
  </si>
  <si>
    <t>6</t>
  </si>
  <si>
    <t>Mag</t>
  </si>
  <si>
    <t>1)</t>
  </si>
  <si>
    <t>2)</t>
  </si>
  <si>
    <t>Custom Application</t>
  </si>
  <si>
    <t>Land Rent</t>
  </si>
  <si>
    <t>Broadaxe XC</t>
  </si>
  <si>
    <t>Command 3ME</t>
  </si>
  <si>
    <t>13</t>
  </si>
  <si>
    <t>Dual Magnum/Everprex/Parallel</t>
  </si>
  <si>
    <t>Firstrate</t>
  </si>
  <si>
    <t>Lorox/Linex</t>
  </si>
  <si>
    <t>7</t>
  </si>
  <si>
    <t>Metribuzin</t>
  </si>
  <si>
    <t>Prowl H20/Prowl</t>
  </si>
  <si>
    <t>Sonalan (PPI Only)</t>
  </si>
  <si>
    <t>Spartan</t>
  </si>
  <si>
    <t>Trifluralin (PPI Only)</t>
  </si>
  <si>
    <t>Valor/Valor EZ/Rowel</t>
  </si>
  <si>
    <t>Afforia</t>
  </si>
  <si>
    <t>2/2/14</t>
  </si>
  <si>
    <t>Authority Assist</t>
  </si>
  <si>
    <t>2/14</t>
  </si>
  <si>
    <t>Authority First/Sonic</t>
  </si>
  <si>
    <t>Authority Maxx</t>
  </si>
  <si>
    <t>Authority MTZ</t>
  </si>
  <si>
    <t>5/14</t>
  </si>
  <si>
    <t>Authority XL</t>
  </si>
  <si>
    <t>Canopy/Canopy Blend</t>
  </si>
  <si>
    <t>Envive</t>
  </si>
  <si>
    <t>Fierce XLT</t>
  </si>
  <si>
    <t>2/14/15</t>
  </si>
  <si>
    <t>Flexstar GT 3.5</t>
  </si>
  <si>
    <t>9/14</t>
  </si>
  <si>
    <t>Prefix</t>
  </si>
  <si>
    <t>Spartan Charge</t>
  </si>
  <si>
    <t>14/14</t>
  </si>
  <si>
    <t>Surveil</t>
  </si>
  <si>
    <t>Synchrony XP</t>
  </si>
  <si>
    <t>Trivence</t>
  </si>
  <si>
    <t>2/5/14</t>
  </si>
  <si>
    <t>Valor XLT/Rowl FX</t>
  </si>
  <si>
    <t>Warrant Ultra</t>
  </si>
  <si>
    <t>Zidua Pro</t>
  </si>
  <si>
    <t>Assure II/Targa</t>
  </si>
  <si>
    <t>Classic</t>
  </si>
  <si>
    <t>Cobra</t>
  </si>
  <si>
    <t>Flexstar</t>
  </si>
  <si>
    <t>Fusilade DX</t>
  </si>
  <si>
    <t>Fusion</t>
  </si>
  <si>
    <t>Harmony SG</t>
  </si>
  <si>
    <t>Marvel</t>
  </si>
  <si>
    <t>Phoenix</t>
  </si>
  <si>
    <t>Poast/Poast Plus</t>
  </si>
  <si>
    <t>Pursuit</t>
  </si>
  <si>
    <t>Raptor</t>
  </si>
  <si>
    <t>Select Max/Arrow/Select</t>
  </si>
  <si>
    <t>Ultra Blazer</t>
  </si>
  <si>
    <t>Liberty/Cheetah</t>
  </si>
  <si>
    <t>Cheetah Max</t>
  </si>
  <si>
    <t>Engenia</t>
  </si>
  <si>
    <t>Xtendimax/Fexapan</t>
  </si>
  <si>
    <t>10</t>
  </si>
  <si>
    <t>10/14</t>
  </si>
  <si>
    <t>2,4-D Amine</t>
  </si>
  <si>
    <t>2,4-D Ester</t>
  </si>
  <si>
    <t>Affinity Broadspec</t>
  </si>
  <si>
    <t>Axial XL</t>
  </si>
  <si>
    <t>Curtail</t>
  </si>
  <si>
    <t>Express</t>
  </si>
  <si>
    <t>Harmony</t>
  </si>
  <si>
    <t>Harmony Extra</t>
  </si>
  <si>
    <t>Huskie</t>
  </si>
  <si>
    <t>MCPA</t>
  </si>
  <si>
    <t>Nimble</t>
  </si>
  <si>
    <t>Osprey</t>
  </si>
  <si>
    <t>Peak</t>
  </si>
  <si>
    <t>Powerflex HL</t>
  </si>
  <si>
    <t>Puma</t>
  </si>
  <si>
    <t>Quelex</t>
  </si>
  <si>
    <t>Starane Ultra</t>
  </si>
  <si>
    <t>Talinor</t>
  </si>
  <si>
    <t>Widematch</t>
  </si>
  <si>
    <t>1</t>
  </si>
  <si>
    <t>4/4</t>
  </si>
  <si>
    <t>6/27</t>
  </si>
  <si>
    <t>Wheat Chemicals</t>
  </si>
  <si>
    <t>FERTILITY PROGRAM</t>
  </si>
  <si>
    <t>OPERATING EXPENSE RATIO</t>
  </si>
  <si>
    <t>Farm</t>
  </si>
  <si>
    <t>Financial Scorecard</t>
  </si>
  <si>
    <t>0 - 60%</t>
  </si>
  <si>
    <t>60 - 80%</t>
  </si>
  <si>
    <t>80 - 100%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</si>
  <si>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</si>
  <si>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Michigan State University Extension</t>
  </si>
  <si>
    <t>Template by: Jon LaPorte, Farm Management Educator</t>
  </si>
  <si>
    <t>Nutrient Removal Rate</t>
  </si>
  <si>
    <t>(Based on Yield Goal)</t>
  </si>
  <si>
    <t>Crop Miscellaneous</t>
  </si>
  <si>
    <t>Repair, Machinery</t>
  </si>
  <si>
    <t>Repair, Buildings</t>
  </si>
  <si>
    <t>Farm Insurance</t>
  </si>
  <si>
    <t>Crop Chemicals</t>
  </si>
  <si>
    <t>Cash Price</t>
  </si>
  <si>
    <t>Herbicides</t>
  </si>
  <si>
    <t>Aproach SC</t>
  </si>
  <si>
    <t>Headline SC</t>
  </si>
  <si>
    <t>Evito SC</t>
  </si>
  <si>
    <t>Caramba 0.75 SL</t>
  </si>
  <si>
    <t>Folicur 3.6 F</t>
  </si>
  <si>
    <t>Proline 480 SC</t>
  </si>
  <si>
    <t>Prosaro 421 SC</t>
  </si>
  <si>
    <t>Tilt 3.6 EC</t>
  </si>
  <si>
    <t>Absolute Maxx SC</t>
  </si>
  <si>
    <t>Aproach Prima SC</t>
  </si>
  <si>
    <t>Delaro 325 SC</t>
  </si>
  <si>
    <t>Nexicor EC</t>
  </si>
  <si>
    <t>Preemptor SC</t>
  </si>
  <si>
    <t>Quilt Xcel 2.2 SE</t>
  </si>
  <si>
    <t>Trivapro SE</t>
  </si>
  <si>
    <t>Wheat Fungicides</t>
  </si>
  <si>
    <t>Soybean Fungicides</t>
  </si>
  <si>
    <t>Corn Fungicides</t>
  </si>
  <si>
    <t>Quadris 2.08 SC</t>
  </si>
  <si>
    <t>Headline 2.09 EC/SC</t>
  </si>
  <si>
    <t>Aproach 2.08 SC</t>
  </si>
  <si>
    <t>Domark 230 ME</t>
  </si>
  <si>
    <t>Trivapro A 0.83 + Trivapro B 2.2 SE</t>
  </si>
  <si>
    <t>Aproach Prima 2.34 SC</t>
  </si>
  <si>
    <t>Fortix/Preemptor 3.22 SC</t>
  </si>
  <si>
    <t>Priaxor 4.17 SC</t>
  </si>
  <si>
    <t>Headline AMP 1.68 SC</t>
  </si>
  <si>
    <t>Stratego  YLD 4.18 SC</t>
  </si>
  <si>
    <t>Affiance 1.5 SC</t>
  </si>
  <si>
    <t>Income Taxes</t>
  </si>
  <si>
    <t>Principal Payment</t>
  </si>
  <si>
    <t>Total Acres</t>
  </si>
  <si>
    <t>Gross Revenue</t>
  </si>
  <si>
    <t>Total Gross Revenue</t>
  </si>
  <si>
    <t>Potassium (Potash)</t>
  </si>
  <si>
    <t>Limestone</t>
  </si>
  <si>
    <t>Source</t>
  </si>
  <si>
    <t>Price/ton</t>
  </si>
  <si>
    <t>Price/lb</t>
  </si>
  <si>
    <t>Amount</t>
  </si>
  <si>
    <t>Fertilizer Calculator</t>
  </si>
  <si>
    <t>Source Code:</t>
  </si>
  <si>
    <t>28-0-0</t>
  </si>
  <si>
    <t>18-46-0</t>
  </si>
  <si>
    <t>0-0-60</t>
  </si>
  <si>
    <t>type in</t>
  </si>
  <si>
    <r>
      <rPr>
        <b/>
        <sz val="12"/>
        <color theme="1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>There is a calculator to help with fertilizer pricing on this page.</t>
    </r>
  </si>
  <si>
    <t>Input income and expense information to create an estimated crop budget for your farm.</t>
  </si>
  <si>
    <t>Lannate LV(oz)</t>
  </si>
  <si>
    <t>Lannate LV (lb)</t>
  </si>
  <si>
    <t>Ambush 25W</t>
  </si>
  <si>
    <t>Arctic 3.2 EC</t>
  </si>
  <si>
    <t>Asana XL</t>
  </si>
  <si>
    <t>Baythroid 2</t>
  </si>
  <si>
    <t>Baythroid XL</t>
  </si>
  <si>
    <t>Bifenture EC</t>
  </si>
  <si>
    <t>Brigade 2EC</t>
  </si>
  <si>
    <t>Capture 2EC</t>
  </si>
  <si>
    <t>Carbaryl 4L</t>
  </si>
  <si>
    <t>Chlorpyrifos 4E</t>
  </si>
  <si>
    <t>Cobalt</t>
  </si>
  <si>
    <t>Dimethoate 267</t>
  </si>
  <si>
    <t>Dimethoate 4EC and DiGon 400</t>
  </si>
  <si>
    <t>Entrust</t>
  </si>
  <si>
    <t>Intrepid 2F</t>
  </si>
  <si>
    <t>Lambda-Cy EC</t>
  </si>
  <si>
    <t>Larvin 3.2</t>
  </si>
  <si>
    <t>Leverage 2.7</t>
  </si>
  <si>
    <t>Leverage 360</t>
  </si>
  <si>
    <t>Nufos 4E</t>
  </si>
  <si>
    <t>Orthene 75S</t>
  </si>
  <si>
    <t>Orthene 90S</t>
  </si>
  <si>
    <t>Orthene 97</t>
  </si>
  <si>
    <t>Penncap-M</t>
  </si>
  <si>
    <t>Permethrin/ Perm-Up 3.2EC</t>
  </si>
  <si>
    <t>Pounce 3.2 EC</t>
  </si>
  <si>
    <t>Proaxis</t>
  </si>
  <si>
    <t>Radiant SC</t>
  </si>
  <si>
    <t>Sevin 4 F and XLR Plus</t>
  </si>
  <si>
    <t>Lorsban 4E &amp; Advanced</t>
  </si>
  <si>
    <t>Sevin 80S and 80WSP</t>
  </si>
  <si>
    <t>Silencer</t>
  </si>
  <si>
    <t>Tracer</t>
  </si>
  <si>
    <t>Warrior</t>
  </si>
  <si>
    <t>Dimilin 25W &amp; 2L</t>
  </si>
  <si>
    <t>Pounce 25WP &amp; 3.2 EC</t>
  </si>
  <si>
    <t>Soybean Insecticides</t>
  </si>
  <si>
    <t>http://msuent.com/assets/pdf/1582SoybeanInsects10.pdf</t>
  </si>
  <si>
    <t>Dimethoate 4EC / 400 (5lb)</t>
  </si>
  <si>
    <t>Dimethoate 4EC / 400 (gal)</t>
  </si>
  <si>
    <t>Malathion ULV</t>
  </si>
  <si>
    <t>Malathion 5EC, 8F and 8 Aquamul</t>
  </si>
  <si>
    <t>Aztec 2.1G</t>
  </si>
  <si>
    <t>Aztec 4.67G</t>
  </si>
  <si>
    <t>Baythroid 2 &amp; XL</t>
  </si>
  <si>
    <t>Capture 1.15 G</t>
  </si>
  <si>
    <t xml:space="preserve">Capture LFR </t>
  </si>
  <si>
    <t>Comite</t>
  </si>
  <si>
    <t>Counter 15G</t>
  </si>
  <si>
    <t>Counter CR</t>
  </si>
  <si>
    <t>Deadline MPs 4% bait</t>
  </si>
  <si>
    <t>Dimethoate 5lb</t>
  </si>
  <si>
    <t>Empower 2</t>
  </si>
  <si>
    <t xml:space="preserve">Entrust </t>
  </si>
  <si>
    <t>Force 3G</t>
  </si>
  <si>
    <t>Fortress 5G</t>
  </si>
  <si>
    <t>Lannate LV</t>
  </si>
  <si>
    <t xml:space="preserve">Lorsban 15G </t>
  </si>
  <si>
    <t>Perm-UP 3.2 EC</t>
  </si>
  <si>
    <t>Pounce 25 WP</t>
  </si>
  <si>
    <t xml:space="preserve">Radiant SC </t>
  </si>
  <si>
    <t>Regent 4SC</t>
  </si>
  <si>
    <t xml:space="preserve">Sevin 4F and XLR Plus </t>
  </si>
  <si>
    <t>http://msuent.com/assets/pdf/1582CornInsects10.pdf</t>
  </si>
  <si>
    <t>Mustang Maxx EC &amp; EW</t>
  </si>
  <si>
    <t>Mustang Maxx EC and EW</t>
  </si>
  <si>
    <t>-</t>
  </si>
  <si>
    <t>Capital Retainment (Net Worth) Break-even</t>
  </si>
  <si>
    <t>Break-even $$/Bushel</t>
  </si>
  <si>
    <t xml:space="preserve">Break-even Yield/Acre </t>
  </si>
  <si>
    <t>Break-Even Calculations</t>
  </si>
  <si>
    <t>Phone: (269) 445-4356          Email: laportej@msu.edu</t>
  </si>
  <si>
    <t>Click on the next TAB to enter specific expense (or income) information.</t>
  </si>
  <si>
    <t>Crop Budget</t>
  </si>
  <si>
    <t>Price</t>
  </si>
  <si>
    <t>lbs/ton</t>
  </si>
  <si>
    <t>%/ton</t>
  </si>
  <si>
    <t>Extract Nitrogen Cost from Phosphate Fertilizers</t>
  </si>
  <si>
    <t>Nitrogen from Phosphate</t>
  </si>
  <si>
    <t>*If nitrogen from Phosphate fertilizer will not be utilized by the crop, simply enter "0" in Amount and adjust the price of the phosphate fertilizer to the total cost/ton of the blend.</t>
  </si>
  <si>
    <t>Other</t>
  </si>
  <si>
    <r>
      <t xml:space="preserve">Interest </t>
    </r>
    <r>
      <rPr>
        <sz val="10"/>
        <color theme="1"/>
        <rFont val="Calibri"/>
        <family val="2"/>
        <scheme val="minor"/>
      </rPr>
      <t>(Operating)</t>
    </r>
  </si>
  <si>
    <t>Hired Labor</t>
  </si>
  <si>
    <r>
      <t>Interest</t>
    </r>
    <r>
      <rPr>
        <sz val="10"/>
        <color theme="1"/>
        <rFont val="Calibri"/>
        <family val="2"/>
        <scheme val="minor"/>
      </rPr>
      <t xml:space="preserve"> (Term)</t>
    </r>
  </si>
  <si>
    <t>Economic Overhead</t>
  </si>
  <si>
    <t>Value of Unpaid Labor &amp; Management</t>
  </si>
  <si>
    <t>Value of Unpaid Equity Capital</t>
  </si>
  <si>
    <t>Total Economic Overhead</t>
  </si>
  <si>
    <t>Total Economic Cost of Production</t>
  </si>
  <si>
    <t>Economic (Profit) Break-even</t>
  </si>
  <si>
    <t>Government Payments</t>
  </si>
  <si>
    <t>After Soybeans</t>
  </si>
  <si>
    <t>After Corn</t>
  </si>
  <si>
    <t>After Wheat</t>
  </si>
  <si>
    <t>After Alfalfa</t>
  </si>
  <si>
    <t>(drop down menu) -&gt;</t>
  </si>
  <si>
    <t>Real Estate Taxes</t>
  </si>
  <si>
    <t>Cash Flow</t>
  </si>
  <si>
    <t>Economic Profitability</t>
  </si>
  <si>
    <t>DEPRECIATION EXPENSE RATIO</t>
  </si>
  <si>
    <t>10% - over</t>
  </si>
  <si>
    <t>5 - 10%</t>
  </si>
  <si>
    <t>0 - 5%</t>
  </si>
  <si>
    <t>INTEREST EXPENSE RATIO</t>
  </si>
  <si>
    <t>NET FARM INCOME RATIO</t>
  </si>
  <si>
    <t>0 - 10%</t>
  </si>
  <si>
    <t>10 - 20%</t>
  </si>
  <si>
    <t>*Note: these four ratios add up to 100%</t>
  </si>
  <si>
    <t>20% - over</t>
  </si>
  <si>
    <t>Corn Silage</t>
  </si>
  <si>
    <t>Alfalfa Hay Seeding</t>
  </si>
  <si>
    <t>Break-even $$/Ton</t>
  </si>
  <si>
    <t>/Ton</t>
  </si>
  <si>
    <t>*Enter a price/lb of nitrogen to calculate the phosphate fertilizer price.  The price as calculated above can be used if a price is not already known.</t>
  </si>
  <si>
    <t>Cost Comparison Charts</t>
  </si>
  <si>
    <t>Variable</t>
  </si>
  <si>
    <t>Fixed</t>
  </si>
  <si>
    <t>Variable &amp; Fixed</t>
  </si>
  <si>
    <t>Other (variable)</t>
  </si>
  <si>
    <r>
      <t>Depreciation</t>
    </r>
    <r>
      <rPr>
        <sz val="10"/>
        <color theme="1"/>
        <rFont val="Calibri"/>
        <family val="2"/>
        <scheme val="minor"/>
      </rPr>
      <t xml:space="preserve"> (Economic)</t>
    </r>
  </si>
  <si>
    <t>Other (fixed)</t>
  </si>
  <si>
    <r>
      <t xml:space="preserve">Other </t>
    </r>
    <r>
      <rPr>
        <sz val="10"/>
        <color theme="1"/>
        <rFont val="Calibri"/>
        <family val="2"/>
        <scheme val="minor"/>
      </rPr>
      <t>(variable &amp; fixed)</t>
    </r>
  </si>
  <si>
    <t>Owner Withdrawal</t>
  </si>
  <si>
    <r>
      <t xml:space="preserve">Interest </t>
    </r>
    <r>
      <rPr>
        <sz val="10"/>
        <color theme="1"/>
        <rFont val="Calibri"/>
        <family val="2"/>
        <scheme val="minor"/>
      </rPr>
      <t>(Oper &amp; Term)</t>
    </r>
  </si>
  <si>
    <t>Optimizing Profitability</t>
  </si>
  <si>
    <t>Budget Acres</t>
  </si>
  <si>
    <t>Revenue Per Acre</t>
  </si>
  <si>
    <t>Total Direct &amp; Overhead Cost</t>
  </si>
  <si>
    <t>Minimum Costs to Cover</t>
  </si>
  <si>
    <t>&lt;=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</si>
  <si>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Total Cost (goal)</t>
    </r>
  </si>
  <si>
    <t>&gt;=</t>
  </si>
  <si>
    <t>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</si>
  <si>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Maximum acres</t>
    </r>
    <r>
      <rPr>
        <sz val="11"/>
        <color theme="1"/>
        <rFont val="Calibri"/>
        <family val="1"/>
        <charset val="2"/>
        <scheme val="minor"/>
      </rPr>
      <t xml:space="preserve"> allowed</t>
    </r>
  </si>
  <si>
    <t>Maximized Revenue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</si>
  <si>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Use </t>
    </r>
    <r>
      <rPr>
        <sz val="11"/>
        <color theme="1"/>
        <rFont val="Calibri"/>
        <family val="2"/>
        <scheme val="minor"/>
      </rPr>
      <t>Solver Function</t>
    </r>
  </si>
  <si>
    <t>Optimization Instructions</t>
  </si>
  <si>
    <t>1. Enter the acres for consideration in the Optimizer in column D.  The acres already on the Crop Budget (Main) tab have been provided for comparison.</t>
  </si>
  <si>
    <t xml:space="preserve">3. Enter the minimum goal of acres for each crop in column E.  </t>
  </si>
  <si>
    <t>4. Enter the total acres to be planted across all crops in column E.</t>
  </si>
  <si>
    <t>Optimization</t>
  </si>
  <si>
    <t>Interest (Operating)</t>
  </si>
  <si>
    <t>Depreciation (Economic not Taxable)</t>
  </si>
  <si>
    <t>Owner Withdrawal (Family Living)</t>
  </si>
  <si>
    <t>Interest (Term)</t>
  </si>
  <si>
    <r>
      <t>Economic Profit</t>
    </r>
    <r>
      <rPr>
        <i/>
        <sz val="14"/>
        <color theme="1"/>
        <rFont val="Calibri"/>
        <family val="2"/>
        <scheme val="minor"/>
      </rPr>
      <t xml:space="preserve"> (Net Cash Flow - Unpaid Labor &amp; Equity)</t>
    </r>
  </si>
  <si>
    <t>120 N. Broadway, Suite 116, Cassopolis, MI 49031</t>
  </si>
  <si>
    <t>Sulfur</t>
  </si>
  <si>
    <t>Total Fertilizer</t>
  </si>
  <si>
    <t>Extract Nitrogen Cost from Sulfur Fertilizers</t>
  </si>
  <si>
    <t>*Enter a price/lb of nitrogen to calculate the sulfur fertilizer price.  The price as calculated above can be used if a price is not already known.</t>
  </si>
  <si>
    <t>*If nitrogen from sulfur fertilizer will not be utilized by the crop, simply enter "0" in Amount and adjust the price of the sulfur fertilizer to the total cost/ton of the blend.</t>
  </si>
  <si>
    <t>Nitrogen from Sulfur</t>
  </si>
  <si>
    <t>Note: Nutrient removal is based on Dry Matter</t>
  </si>
  <si>
    <t>FINBIN</t>
  </si>
  <si>
    <t>Example</t>
  </si>
  <si>
    <t>Profit Per Acre</t>
  </si>
  <si>
    <t>2. Note the revenue per are is provided from the Crop Budget (Main) tab for all crops in column G.</t>
  </si>
  <si>
    <t>5. Click on the Maximized Revenue cell in C15 and run the Solver tool (click on Data on the top toolbar).  Solver is pre-programmed, but can be reset using the photo below:</t>
  </si>
  <si>
    <t>How much of every $1.00 generated goes to operating costs?</t>
  </si>
  <si>
    <t>How much of every $1.00 generated goes to depreciation costs?</t>
  </si>
  <si>
    <t>How much of every $1.00 generated goes to interest costs?</t>
  </si>
  <si>
    <t>How much of every $1.00 generated is farm income?</t>
  </si>
  <si>
    <t>Prepared by: Jon LaPorte, Farm Business Management Educator</t>
  </si>
  <si>
    <t>Suite 116, 120 N. Broadway, Cassopolis, MI 49031</t>
  </si>
  <si>
    <t>EXPENSE</t>
  </si>
  <si>
    <t>Variable Costs</t>
  </si>
  <si>
    <r>
      <t xml:space="preserve">Other Fertilizer </t>
    </r>
    <r>
      <rPr>
        <i/>
        <sz val="12"/>
        <color theme="1"/>
        <rFont val="Calibri"/>
        <family val="2"/>
        <scheme val="minor"/>
      </rPr>
      <t>(i.e. micronutrients)</t>
    </r>
  </si>
  <si>
    <t>Total Variable Costs</t>
  </si>
  <si>
    <r>
      <rPr>
        <b/>
        <i/>
        <sz val="14"/>
        <color rgb="FF18453B"/>
        <rFont val="Calibri"/>
        <family val="2"/>
        <scheme val="minor"/>
      </rPr>
      <t>Return Over Variable Costs</t>
    </r>
    <r>
      <rPr>
        <b/>
        <i/>
        <sz val="12"/>
        <color rgb="FF18453B"/>
        <rFont val="Calibri"/>
        <family val="2"/>
        <scheme val="minor"/>
      </rPr>
      <t xml:space="preserve"> </t>
    </r>
  </si>
  <si>
    <t>(Gross Revenue - Variable Costs)</t>
  </si>
  <si>
    <t>Fixed Costs</t>
  </si>
  <si>
    <t>Total Fixed Costs</t>
  </si>
  <si>
    <t>Total Variable &amp; Fixed Costs</t>
  </si>
  <si>
    <t>Net Farm Income</t>
  </si>
  <si>
    <t>(Gross Revenue - Variable &amp; Fixed Costs)</t>
  </si>
  <si>
    <t>Financing</t>
  </si>
  <si>
    <t>Total Financing</t>
  </si>
  <si>
    <t>Total Variable, Fixed, and Financing</t>
  </si>
  <si>
    <t>Net Cash Flow</t>
  </si>
  <si>
    <t xml:space="preserve"> (Net Farm Income - Financing + Depreciation)</t>
  </si>
  <si>
    <r>
      <t xml:space="preserve">Net Returns </t>
    </r>
    <r>
      <rPr>
        <b/>
        <sz val="11"/>
        <color theme="1"/>
        <rFont val="Calibri"/>
        <family val="2"/>
        <scheme val="minor"/>
      </rPr>
      <t>(Over Direct &amp; Overhead)</t>
    </r>
  </si>
  <si>
    <r>
      <t xml:space="preserve">Repayment Capacity </t>
    </r>
    <r>
      <rPr>
        <b/>
        <sz val="11"/>
        <color theme="1"/>
        <rFont val="Calibri"/>
        <family val="2"/>
        <scheme val="minor"/>
      </rPr>
      <t>(Cash Flow)</t>
    </r>
  </si>
  <si>
    <t>Other Income</t>
  </si>
  <si>
    <t>Crop Budget Estimator (Vegetable)</t>
  </si>
  <si>
    <t>Enter Crop Name</t>
  </si>
  <si>
    <r>
      <t xml:space="preserve">Expected Yield </t>
    </r>
    <r>
      <rPr>
        <i/>
        <sz val="12"/>
        <color theme="1"/>
        <rFont val="Calibri"/>
        <family val="2"/>
        <scheme val="minor"/>
      </rPr>
      <t>(i.e., cwt, dozen, ton)</t>
    </r>
  </si>
  <si>
    <t>Minimum Acres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</si>
  <si>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acres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</si>
  <si>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</si>
  <si>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t>6. After running Solver, the acres will be re-adjusted to maximize the revenue of the combined crops.</t>
  </si>
  <si>
    <t>Break-even $$/Unit</t>
  </si>
  <si>
    <t>/Unit</t>
  </si>
  <si>
    <t>Units</t>
  </si>
  <si>
    <t>Unit</t>
  </si>
  <si>
    <t>Crop Budget Estimator (Vegetables)</t>
  </si>
  <si>
    <t>This tab contains an optimization tool that will outline what combination of acres will provide the maximum profitability based on the information producers input in the Crop Budget (Main) tab.</t>
  </si>
  <si>
    <t>Financial Info</t>
  </si>
  <si>
    <t>Provides financial ratios related to the numbers input into the Crop Budget (Main) tab.</t>
  </si>
  <si>
    <t>(Sweet Corn)</t>
  </si>
  <si>
    <t>(Potatoes)</t>
  </si>
  <si>
    <t>(Peas Process)</t>
  </si>
  <si>
    <t xml:space="preserve">Note: Examples from FINBIN do not provide a breakdown on Fertilizer (N-P-K, lime, micros, etc.) or Chemical (herbicide, fungicide, adjuvant, etc.) costs.  </t>
  </si>
  <si>
    <t>Those breakdowns are needed for accurate budgeting of your farm's costs.</t>
  </si>
  <si>
    <t>Area would be 9" Wide x 9" Length</t>
  </si>
  <si>
    <t>Note: If number of beds are known, enter "0" in Space Between Beds for width and length.  Width and length of actual beds still needed for final conversion.</t>
  </si>
  <si>
    <t>Note: Applied acres only accounts for actual area managed for production purposes.</t>
  </si>
  <si>
    <t>18" Spacing</t>
  </si>
  <si>
    <t>x</t>
  </si>
  <si>
    <t>9"</t>
  </si>
  <si>
    <t>Total Applied Acres</t>
  </si>
  <si>
    <t>Acre (per bed)</t>
  </si>
  <si>
    <t>Number of  Beds</t>
  </si>
  <si>
    <t>100 ft long</t>
  </si>
  <si>
    <t>30" Bed</t>
  </si>
  <si>
    <t>Total Applied Acres Per Bed Crops</t>
  </si>
  <si>
    <t>2.5 ft wide</t>
  </si>
  <si>
    <r>
      <t xml:space="preserve">Note:  Spacing between beds should account for walk/drive areas specifically associated to a specific bed. Adjust area calculation according. See example diagram to right of calculator. </t>
    </r>
    <r>
      <rPr>
        <sz val="12"/>
        <color theme="1"/>
        <rFont val="Times New Roman"/>
        <family val="1"/>
      </rPr>
      <t>→</t>
    </r>
  </si>
  <si>
    <t>÷</t>
  </si>
  <si>
    <t>Adj Sq. ft.</t>
  </si>
  <si>
    <t>Acre (sq. ft.)</t>
  </si>
  <si>
    <t>Adj Sq.ft.</t>
  </si>
  <si>
    <t>Adj Raised Bed Length</t>
  </si>
  <si>
    <t>Adj Raised Bed Width</t>
  </si>
  <si>
    <t>Example Diagram of Centered 30" Beds with 18" Spacing Between Beds</t>
  </si>
  <si>
    <t>Length (inches)</t>
  </si>
  <si>
    <t>Width (inches)</t>
  </si>
  <si>
    <t>Spacing Between Beds</t>
  </si>
  <si>
    <t>for 42" beds, use 3.5 ft (42" ÷ 12") width</t>
  </si>
  <si>
    <t>For 30" beds, use 2.5 ft (30" ÷ 12") width</t>
  </si>
  <si>
    <t xml:space="preserve">Note: </t>
  </si>
  <si>
    <t>After Dry Beans</t>
  </si>
  <si>
    <t>Sq.ft.</t>
  </si>
  <si>
    <t>Length (ft)</t>
  </si>
  <si>
    <t>Width (ft)</t>
  </si>
  <si>
    <t>After Sugar Beets</t>
  </si>
  <si>
    <t>Actual Size of Raised Beds</t>
  </si>
  <si>
    <t>RAISED BEDS PER ACRE CALCULATOR</t>
  </si>
  <si>
    <t>Drop Down Menu</t>
  </si>
  <si>
    <t>Raised Bed Calculator</t>
  </si>
  <si>
    <t>Helps to determine how much of an acre is actually used for production when planted in raised beds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</si>
</sst>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0.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4"/>
      <color theme="6" tint="0.5999938962981048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rgb="FF18453B"/>
      <name val="Calibri"/>
      <family val="2"/>
      <scheme val="minor"/>
    </font>
    <font>
      <b/>
      <i/>
      <sz val="14"/>
      <color rgb="FF18453B"/>
      <name val="Calibri"/>
      <family val="2"/>
      <scheme val="minor"/>
    </font>
    <font>
      <b/>
      <sz val="10"/>
      <color rgb="FF18453B"/>
      <name val="Calibri"/>
      <family val="2"/>
      <scheme val="minor"/>
    </font>
    <font>
      <b/>
      <i/>
      <sz val="10"/>
      <color rgb="FF18453B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Calibri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B14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453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99">
    <xf numFmtId="0" fontId="0" fillId="0" borderId="0" xfId="0"/>
    <xf numFmtId="44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11" fillId="0" borderId="2" xfId="0" applyFont="1" applyBorder="1"/>
    <xf numFmtId="164" fontId="3" fillId="0" borderId="0" xfId="0" applyNumberFormat="1" applyFont="1" applyProtection="1">
      <protection locked="0"/>
    </xf>
    <xf numFmtId="0" fontId="6" fillId="0" borderId="4" xfId="0" applyFont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8" fontId="9" fillId="0" borderId="0" xfId="0" applyNumberFormat="1" applyFont="1" applyAlignment="1" applyProtection="1">
      <alignment horizontal="center" vertical="center"/>
      <protection locked="0"/>
    </xf>
    <xf numFmtId="0" fontId="21" fillId="0" borderId="0" xfId="3"/>
    <xf numFmtId="0" fontId="5" fillId="8" borderId="10" xfId="0" applyFont="1" applyFill="1" applyBorder="1" applyAlignment="1">
      <alignment horizontal="right" vertical="center"/>
    </xf>
    <xf numFmtId="0" fontId="5" fillId="8" borderId="11" xfId="0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right" vertical="center"/>
    </xf>
    <xf numFmtId="0" fontId="5" fillId="8" borderId="2" xfId="0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/>
    </xf>
    <xf numFmtId="0" fontId="3" fillId="8" borderId="0" xfId="0" applyFont="1" applyFill="1"/>
    <xf numFmtId="0" fontId="0" fillId="8" borderId="0" xfId="0" applyFill="1"/>
    <xf numFmtId="0" fontId="0" fillId="8" borderId="5" xfId="0" applyFill="1" applyBorder="1"/>
    <xf numFmtId="0" fontId="6" fillId="8" borderId="4" xfId="0" applyFont="1" applyFill="1" applyBorder="1" applyAlignment="1">
      <alignment horizontal="right"/>
    </xf>
    <xf numFmtId="0" fontId="6" fillId="8" borderId="0" xfId="0" applyFont="1" applyFill="1"/>
    <xf numFmtId="0" fontId="2" fillId="8" borderId="0" xfId="0" applyFont="1" applyFill="1"/>
    <xf numFmtId="0" fontId="2" fillId="8" borderId="5" xfId="0" applyFont="1" applyFill="1" applyBorder="1"/>
    <xf numFmtId="0" fontId="7" fillId="8" borderId="0" xfId="0" applyFont="1" applyFill="1" applyAlignment="1">
      <alignment horizontal="right"/>
    </xf>
    <xf numFmtId="0" fontId="0" fillId="8" borderId="10" xfId="0" applyFill="1" applyBorder="1"/>
    <xf numFmtId="0" fontId="0" fillId="8" borderId="11" xfId="0" applyFill="1" applyBorder="1"/>
    <xf numFmtId="0" fontId="0" fillId="8" borderId="6" xfId="0" applyFill="1" applyBorder="1"/>
    <xf numFmtId="0" fontId="4" fillId="0" borderId="4" xfId="0" applyFont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6" xfId="0" applyFont="1" applyBorder="1" applyProtection="1">
      <protection locked="0"/>
    </xf>
    <xf numFmtId="165" fontId="3" fillId="0" borderId="0" xfId="0" applyNumberFormat="1" applyFont="1" applyAlignment="1">
      <alignment horizontal="left" vertical="center"/>
    </xf>
    <xf numFmtId="44" fontId="18" fillId="0" borderId="0" xfId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165" fontId="17" fillId="0" borderId="0" xfId="0" applyNumberFormat="1" applyFont="1" applyAlignment="1">
      <alignment horizontal="left" vertical="center" indent="2"/>
    </xf>
    <xf numFmtId="165" fontId="8" fillId="0" borderId="0" xfId="0" applyNumberFormat="1" applyFont="1" applyAlignment="1">
      <alignment horizontal="left" vertical="center" indent="2"/>
    </xf>
    <xf numFmtId="165" fontId="8" fillId="0" borderId="0" xfId="0" applyNumberFormat="1" applyFont="1" applyAlignment="1" applyProtection="1">
      <alignment horizontal="left" vertical="center" indent="2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52" xfId="0" applyBorder="1"/>
    <xf numFmtId="0" fontId="0" fillId="0" borderId="52" xfId="0" applyBorder="1" applyAlignment="1">
      <alignment horizontal="center"/>
    </xf>
    <xf numFmtId="2" fontId="22" fillId="0" borderId="52" xfId="0" applyNumberFormat="1" applyFont="1" applyBorder="1" applyAlignment="1">
      <alignment horizontal="center"/>
    </xf>
    <xf numFmtId="0" fontId="0" fillId="0" borderId="52" xfId="0" applyBorder="1" applyAlignment="1">
      <alignment horizontal="center" wrapText="1"/>
    </xf>
    <xf numFmtId="0" fontId="23" fillId="7" borderId="14" xfId="0" applyFont="1" applyFill="1" applyBorder="1" applyAlignment="1" applyProtection="1">
      <alignment horizontal="center"/>
      <protection locked="0"/>
    </xf>
    <xf numFmtId="2" fontId="22" fillId="0" borderId="0" xfId="0" applyNumberFormat="1" applyFont="1" applyAlignment="1">
      <alignment horizontal="center"/>
    </xf>
    <xf numFmtId="165" fontId="0" fillId="0" borderId="0" xfId="4" applyNumberFormat="1" applyFont="1" applyAlignment="1" applyProtection="1">
      <alignment horizontal="center"/>
    </xf>
    <xf numFmtId="165" fontId="23" fillId="7" borderId="14" xfId="0" applyNumberFormat="1" applyFont="1" applyFill="1" applyBorder="1" applyAlignment="1" applyProtection="1">
      <alignment horizontal="center"/>
      <protection locked="0"/>
    </xf>
    <xf numFmtId="0" fontId="24" fillId="0" borderId="0" xfId="0" applyFont="1"/>
    <xf numFmtId="1" fontId="0" fillId="0" borderId="0" xfId="4" applyNumberFormat="1" applyFont="1" applyAlignment="1" applyProtection="1">
      <alignment horizontal="center"/>
    </xf>
    <xf numFmtId="0" fontId="0" fillId="0" borderId="47" xfId="0" applyBorder="1"/>
    <xf numFmtId="1" fontId="0" fillId="0" borderId="47" xfId="4" applyNumberFormat="1" applyFont="1" applyBorder="1" applyAlignment="1" applyProtection="1">
      <alignment horizontal="center"/>
    </xf>
    <xf numFmtId="0" fontId="0" fillId="0" borderId="47" xfId="0" quotePrefix="1" applyBorder="1" applyAlignment="1">
      <alignment horizontal="center"/>
    </xf>
    <xf numFmtId="0" fontId="23" fillId="7" borderId="21" xfId="0" applyFont="1" applyFill="1" applyBorder="1" applyAlignment="1" applyProtection="1">
      <alignment horizontal="center"/>
      <protection locked="0"/>
    </xf>
    <xf numFmtId="0" fontId="24" fillId="0" borderId="47" xfId="0" applyFont="1" applyBorder="1"/>
    <xf numFmtId="5" fontId="23" fillId="7" borderId="14" xfId="4" applyNumberFormat="1" applyFont="1" applyFill="1" applyBorder="1" applyProtection="1">
      <protection locked="0"/>
    </xf>
    <xf numFmtId="0" fontId="24" fillId="0" borderId="0" xfId="0" applyFont="1" applyAlignment="1">
      <alignment horizontal="left"/>
    </xf>
    <xf numFmtId="0" fontId="7" fillId="8" borderId="10" xfId="0" applyFont="1" applyFill="1" applyBorder="1" applyAlignment="1">
      <alignment horizontal="right"/>
    </xf>
    <xf numFmtId="0" fontId="7" fillId="8" borderId="11" xfId="0" applyFont="1" applyFill="1" applyBorder="1" applyAlignment="1">
      <alignment horizontal="right"/>
    </xf>
    <xf numFmtId="0" fontId="3" fillId="8" borderId="0" xfId="0" applyFont="1" applyFill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4" fillId="6" borderId="3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28" fillId="0" borderId="0" xfId="0" applyFont="1" applyAlignment="1">
      <alignment vertical="center"/>
    </xf>
    <xf numFmtId="165" fontId="9" fillId="0" borderId="38" xfId="0" applyNumberFormat="1" applyFont="1" applyBorder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8" fontId="27" fillId="0" borderId="0" xfId="1" applyNumberFormat="1" applyFont="1" applyFill="1" applyBorder="1" applyAlignment="1" applyProtection="1">
      <alignment horizontal="center" vertical="center"/>
    </xf>
    <xf numFmtId="8" fontId="28" fillId="0" borderId="16" xfId="0" applyNumberFormat="1" applyFont="1" applyBorder="1" applyAlignment="1">
      <alignment horizontal="center" vertical="center"/>
    </xf>
    <xf numFmtId="8" fontId="28" fillId="0" borderId="0" xfId="0" applyNumberFormat="1" applyFont="1" applyAlignment="1">
      <alignment horizontal="center" vertical="center"/>
    </xf>
    <xf numFmtId="0" fontId="9" fillId="0" borderId="38" xfId="0" applyFont="1" applyBorder="1"/>
    <xf numFmtId="8" fontId="12" fillId="0" borderId="0" xfId="0" applyNumberFormat="1" applyFont="1" applyAlignment="1">
      <alignment horizontal="center" vertical="center"/>
    </xf>
    <xf numFmtId="8" fontId="12" fillId="0" borderId="16" xfId="0" applyNumberFormat="1" applyFont="1" applyBorder="1" applyAlignment="1">
      <alignment horizontal="center" vertical="center"/>
    </xf>
    <xf numFmtId="0" fontId="27" fillId="7" borderId="14" xfId="0" applyFont="1" applyFill="1" applyBorder="1" applyAlignment="1" applyProtection="1">
      <alignment horizontal="center"/>
      <protection locked="0"/>
    </xf>
    <xf numFmtId="8" fontId="9" fillId="0" borderId="16" xfId="0" applyNumberFormat="1" applyFont="1" applyBorder="1" applyAlignment="1">
      <alignment horizontal="center" vertical="center"/>
    </xf>
    <xf numFmtId="8" fontId="9" fillId="0" borderId="0" xfId="0" applyNumberFormat="1" applyFont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0" fontId="27" fillId="0" borderId="15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left"/>
    </xf>
    <xf numFmtId="0" fontId="9" fillId="0" borderId="0" xfId="0" applyFont="1" applyAlignment="1">
      <alignment horizontal="left"/>
    </xf>
    <xf numFmtId="44" fontId="27" fillId="7" borderId="14" xfId="0" applyNumberFormat="1" applyFont="1" applyFill="1" applyBorder="1" applyAlignment="1" applyProtection="1">
      <alignment horizontal="center"/>
      <protection locked="0"/>
    </xf>
    <xf numFmtId="8" fontId="12" fillId="0" borderId="0" xfId="0" applyNumberFormat="1" applyFont="1" applyAlignment="1">
      <alignment horizontal="center"/>
    </xf>
    <xf numFmtId="8" fontId="9" fillId="0" borderId="16" xfId="0" applyNumberFormat="1" applyFont="1" applyBorder="1" applyAlignment="1">
      <alignment horizontal="center"/>
    </xf>
    <xf numFmtId="8" fontId="9" fillId="0" borderId="0" xfId="0" applyNumberFormat="1" applyFont="1" applyAlignment="1">
      <alignment horizontal="center"/>
    </xf>
    <xf numFmtId="8" fontId="27" fillId="0" borderId="15" xfId="0" applyNumberFormat="1" applyFont="1" applyBorder="1" applyAlignment="1" applyProtection="1">
      <alignment horizontal="center" vertical="center"/>
      <protection locked="0"/>
    </xf>
    <xf numFmtId="8" fontId="4" fillId="0" borderId="25" xfId="0" applyNumberFormat="1" applyFont="1" applyBorder="1" applyAlignment="1">
      <alignment horizontal="center" vertical="center"/>
    </xf>
    <xf numFmtId="8" fontId="10" fillId="0" borderId="25" xfId="0" applyNumberFormat="1" applyFont="1" applyBorder="1" applyAlignment="1">
      <alignment horizontal="center" vertical="center"/>
    </xf>
    <xf numFmtId="8" fontId="10" fillId="0" borderId="0" xfId="0" applyNumberFormat="1" applyFont="1" applyAlignment="1">
      <alignment horizontal="center" vertical="center"/>
    </xf>
    <xf numFmtId="44" fontId="29" fillId="0" borderId="33" xfId="1" applyFont="1" applyFill="1" applyBorder="1" applyAlignment="1" applyProtection="1">
      <alignment horizontal="center" vertical="center"/>
    </xf>
    <xf numFmtId="44" fontId="12" fillId="0" borderId="33" xfId="1" applyFont="1" applyFill="1" applyBorder="1" applyAlignment="1" applyProtection="1">
      <alignment horizontal="center" vertical="center"/>
    </xf>
    <xf numFmtId="44" fontId="12" fillId="0" borderId="0" xfId="1" applyFont="1" applyFill="1" applyBorder="1" applyAlignment="1" applyProtection="1">
      <alignment horizontal="center" vertical="center"/>
    </xf>
    <xf numFmtId="8" fontId="9" fillId="0" borderId="15" xfId="0" applyNumberFormat="1" applyFont="1" applyBorder="1" applyAlignment="1">
      <alignment horizontal="center" vertical="center"/>
    </xf>
    <xf numFmtId="8" fontId="12" fillId="0" borderId="5" xfId="0" applyNumberFormat="1" applyFont="1" applyBorder="1" applyAlignment="1">
      <alignment horizontal="center" vertical="center"/>
    </xf>
    <xf numFmtId="8" fontId="20" fillId="0" borderId="0" xfId="0" applyNumberFormat="1" applyFont="1" applyAlignment="1">
      <alignment horizontal="center" vertical="center"/>
    </xf>
    <xf numFmtId="8" fontId="4" fillId="0" borderId="15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10" fillId="0" borderId="18" xfId="0" applyNumberFormat="1" applyFont="1" applyBorder="1" applyAlignment="1">
      <alignment horizontal="center" vertical="center"/>
    </xf>
    <xf numFmtId="8" fontId="10" fillId="0" borderId="8" xfId="0" applyNumberFormat="1" applyFont="1" applyBorder="1" applyAlignment="1">
      <alignment horizontal="center" vertical="center"/>
    </xf>
    <xf numFmtId="44" fontId="27" fillId="7" borderId="14" xfId="1" applyFont="1" applyFill="1" applyBorder="1" applyAlignment="1" applyProtection="1">
      <alignment horizontal="center" vertical="center"/>
      <protection locked="0"/>
    </xf>
    <xf numFmtId="8" fontId="30" fillId="0" borderId="16" xfId="1" applyNumberFormat="1" applyFont="1" applyFill="1" applyBorder="1" applyAlignment="1" applyProtection="1">
      <alignment horizontal="center" vertical="center"/>
    </xf>
    <xf numFmtId="44" fontId="12" fillId="0" borderId="24" xfId="1" applyFont="1" applyFill="1" applyBorder="1" applyAlignment="1" applyProtection="1">
      <alignment horizontal="center" vertical="center"/>
    </xf>
    <xf numFmtId="44" fontId="12" fillId="0" borderId="27" xfId="1" applyFont="1" applyFill="1" applyBorder="1" applyAlignment="1" applyProtection="1">
      <alignment horizontal="center" vertical="center"/>
    </xf>
    <xf numFmtId="44" fontId="28" fillId="0" borderId="24" xfId="1" applyFont="1" applyFill="1" applyBorder="1" applyAlignment="1" applyProtection="1">
      <alignment horizontal="center" vertical="center"/>
    </xf>
    <xf numFmtId="8" fontId="30" fillId="0" borderId="24" xfId="1" applyNumberFormat="1" applyFont="1" applyFill="1" applyBorder="1" applyAlignment="1" applyProtection="1">
      <alignment horizontal="center" vertical="center"/>
    </xf>
    <xf numFmtId="44" fontId="12" fillId="0" borderId="23" xfId="1" applyFont="1" applyFill="1" applyBorder="1" applyAlignment="1" applyProtection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44" fontId="28" fillId="0" borderId="24" xfId="1" applyFont="1" applyFill="1" applyBorder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44" fontId="30" fillId="0" borderId="45" xfId="1" applyFont="1" applyFill="1" applyBorder="1" applyAlignment="1" applyProtection="1">
      <alignment horizontal="center" vertical="center"/>
    </xf>
    <xf numFmtId="8" fontId="30" fillId="0" borderId="33" xfId="0" applyNumberFormat="1" applyFont="1" applyBorder="1" applyAlignment="1">
      <alignment horizontal="center" vertical="center"/>
    </xf>
    <xf numFmtId="44" fontId="30" fillId="0" borderId="34" xfId="1" applyFont="1" applyFill="1" applyBorder="1" applyAlignment="1" applyProtection="1">
      <alignment horizontal="center" vertical="center"/>
    </xf>
    <xf numFmtId="8" fontId="30" fillId="0" borderId="0" xfId="0" applyNumberFormat="1" applyFont="1" applyAlignment="1">
      <alignment horizontal="center" vertical="center"/>
    </xf>
    <xf numFmtId="44" fontId="30" fillId="0" borderId="22" xfId="1" applyFont="1" applyFill="1" applyBorder="1" applyAlignment="1" applyProtection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8" fontId="31" fillId="0" borderId="29" xfId="0" applyNumberFormat="1" applyFont="1" applyBorder="1" applyAlignment="1">
      <alignment horizontal="center" vertical="center"/>
    </xf>
    <xf numFmtId="8" fontId="31" fillId="0" borderId="19" xfId="0" applyNumberFormat="1" applyFont="1" applyBorder="1" applyAlignment="1">
      <alignment horizontal="center" vertical="center"/>
    </xf>
    <xf numFmtId="8" fontId="31" fillId="0" borderId="14" xfId="0" applyNumberFormat="1" applyFont="1" applyBorder="1" applyAlignment="1">
      <alignment horizontal="center" vertical="center"/>
    </xf>
    <xf numFmtId="8" fontId="32" fillId="0" borderId="0" xfId="0" applyNumberFormat="1" applyFont="1" applyAlignment="1">
      <alignment horizontal="center" vertical="center"/>
    </xf>
    <xf numFmtId="8" fontId="31" fillId="0" borderId="26" xfId="0" applyNumberFormat="1" applyFont="1" applyBorder="1" applyAlignment="1">
      <alignment horizontal="center" vertical="center"/>
    </xf>
    <xf numFmtId="8" fontId="30" fillId="0" borderId="15" xfId="0" applyNumberFormat="1" applyFont="1" applyBorder="1" applyAlignment="1">
      <alignment horizontal="center" vertical="center"/>
    </xf>
    <xf numFmtId="8" fontId="30" fillId="0" borderId="0" xfId="1" applyNumberFormat="1" applyFont="1" applyFill="1" applyBorder="1" applyAlignment="1" applyProtection="1">
      <alignment horizontal="center" vertical="center"/>
    </xf>
    <xf numFmtId="0" fontId="4" fillId="6" borderId="42" xfId="0" applyFont="1" applyFill="1" applyBorder="1" applyAlignment="1">
      <alignment horizontal="center"/>
    </xf>
    <xf numFmtId="44" fontId="30" fillId="0" borderId="17" xfId="1" applyFont="1" applyFill="1" applyBorder="1" applyAlignment="1" applyProtection="1">
      <alignment horizontal="center" vertical="center"/>
    </xf>
    <xf numFmtId="8" fontId="30" fillId="0" borderId="19" xfId="1" applyNumberFormat="1" applyFont="1" applyFill="1" applyBorder="1" applyAlignment="1" applyProtection="1">
      <alignment horizontal="center" vertical="center"/>
    </xf>
    <xf numFmtId="44" fontId="30" fillId="0" borderId="30" xfId="1" applyFont="1" applyFill="1" applyBorder="1" applyAlignment="1" applyProtection="1">
      <alignment horizontal="center" vertical="center"/>
    </xf>
    <xf numFmtId="44" fontId="30" fillId="0" borderId="9" xfId="1" applyFont="1" applyFill="1" applyBorder="1" applyAlignment="1" applyProtection="1">
      <alignment horizontal="center" vertical="center"/>
    </xf>
    <xf numFmtId="44" fontId="30" fillId="0" borderId="32" xfId="1" applyFont="1" applyFill="1" applyBorder="1" applyAlignment="1" applyProtection="1">
      <alignment horizontal="center" vertical="center"/>
    </xf>
    <xf numFmtId="44" fontId="30" fillId="0" borderId="12" xfId="1" applyFont="1" applyFill="1" applyBorder="1" applyAlignment="1" applyProtection="1">
      <alignment horizontal="center" vertical="center"/>
    </xf>
    <xf numFmtId="8" fontId="32" fillId="0" borderId="15" xfId="0" applyNumberFormat="1" applyFont="1" applyBorder="1" applyAlignment="1">
      <alignment horizontal="center" vertical="center"/>
    </xf>
    <xf numFmtId="8" fontId="10" fillId="0" borderId="16" xfId="0" applyNumberFormat="1" applyFont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8" fontId="31" fillId="0" borderId="0" xfId="0" applyNumberFormat="1" applyFont="1" applyAlignment="1">
      <alignment horizontal="center" vertical="center"/>
    </xf>
    <xf numFmtId="8" fontId="10" fillId="0" borderId="5" xfId="0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left"/>
    </xf>
    <xf numFmtId="8" fontId="30" fillId="0" borderId="19" xfId="0" applyNumberFormat="1" applyFont="1" applyBorder="1" applyAlignment="1">
      <alignment horizontal="center" vertical="center"/>
    </xf>
    <xf numFmtId="44" fontId="30" fillId="0" borderId="14" xfId="1" applyFont="1" applyFill="1" applyBorder="1" applyAlignment="1" applyProtection="1">
      <alignment horizontal="center" vertical="center"/>
    </xf>
    <xf numFmtId="44" fontId="30" fillId="0" borderId="26" xfId="1" applyFont="1" applyFill="1" applyBorder="1" applyAlignment="1" applyProtection="1">
      <alignment horizontal="center" vertical="center"/>
    </xf>
    <xf numFmtId="0" fontId="29" fillId="0" borderId="40" xfId="0" applyFont="1" applyBorder="1" applyAlignment="1">
      <alignment horizontal="left"/>
    </xf>
    <xf numFmtId="8" fontId="30" fillId="0" borderId="48" xfId="0" applyNumberFormat="1" applyFont="1" applyBorder="1" applyAlignment="1">
      <alignment horizontal="center" vertical="center"/>
    </xf>
    <xf numFmtId="44" fontId="30" fillId="0" borderId="46" xfId="1" applyFont="1" applyFill="1" applyBorder="1" applyAlignment="1" applyProtection="1">
      <alignment horizontal="center" vertical="center"/>
    </xf>
    <xf numFmtId="44" fontId="30" fillId="0" borderId="44" xfId="1" applyFont="1" applyFill="1" applyBorder="1" applyAlignment="1" applyProtection="1">
      <alignment horizontal="center" vertical="center"/>
    </xf>
    <xf numFmtId="165" fontId="31" fillId="0" borderId="19" xfId="0" applyNumberFormat="1" applyFont="1" applyBorder="1" applyAlignment="1">
      <alignment horizontal="center" vertical="center"/>
    </xf>
    <xf numFmtId="8" fontId="31" fillId="0" borderId="7" xfId="0" applyNumberFormat="1" applyFont="1" applyBorder="1" applyAlignment="1">
      <alignment horizontal="center" vertical="center"/>
    </xf>
    <xf numFmtId="8" fontId="31" fillId="0" borderId="50" xfId="0" applyNumberFormat="1" applyFont="1" applyBorder="1" applyAlignment="1">
      <alignment horizontal="center" vertical="center"/>
    </xf>
    <xf numFmtId="44" fontId="30" fillId="0" borderId="15" xfId="1" applyFont="1" applyFill="1" applyBorder="1" applyAlignment="1" applyProtection="1">
      <alignment horizontal="center" vertical="center"/>
    </xf>
    <xf numFmtId="44" fontId="30" fillId="0" borderId="16" xfId="1" applyFont="1" applyFill="1" applyBorder="1" applyAlignment="1" applyProtection="1">
      <alignment horizontal="center" vertical="center"/>
    </xf>
    <xf numFmtId="44" fontId="30" fillId="0" borderId="5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8" fontId="4" fillId="0" borderId="17" xfId="0" applyNumberFormat="1" applyFont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8" fontId="10" fillId="0" borderId="18" xfId="0" applyNumberFormat="1" applyFont="1" applyBorder="1" applyAlignment="1">
      <alignment horizontal="center"/>
    </xf>
    <xf numFmtId="8" fontId="10" fillId="0" borderId="0" xfId="0" applyNumberFormat="1" applyFont="1" applyAlignment="1">
      <alignment horizontal="center"/>
    </xf>
    <xf numFmtId="8" fontId="10" fillId="0" borderId="8" xfId="0" applyNumberFormat="1" applyFont="1" applyBorder="1" applyAlignment="1">
      <alignment horizontal="center"/>
    </xf>
    <xf numFmtId="0" fontId="9" fillId="0" borderId="16" xfId="0" applyFont="1" applyBorder="1"/>
    <xf numFmtId="44" fontId="9" fillId="0" borderId="24" xfId="1" applyFont="1" applyFill="1" applyBorder="1" applyAlignment="1" applyProtection="1">
      <alignment horizontal="center"/>
    </xf>
    <xf numFmtId="8" fontId="9" fillId="0" borderId="24" xfId="1" applyNumberFormat="1" applyFont="1" applyFill="1" applyBorder="1" applyAlignment="1" applyProtection="1">
      <alignment horizontal="center"/>
    </xf>
    <xf numFmtId="0" fontId="29" fillId="0" borderId="0" xfId="0" applyFont="1" applyAlignment="1">
      <alignment horizontal="left"/>
    </xf>
    <xf numFmtId="44" fontId="30" fillId="0" borderId="14" xfId="1" applyFont="1" applyFill="1" applyBorder="1" applyAlignment="1" applyProtection="1">
      <alignment horizontal="center"/>
    </xf>
    <xf numFmtId="8" fontId="30" fillId="0" borderId="19" xfId="0" applyNumberFormat="1" applyFont="1" applyBorder="1" applyAlignment="1">
      <alignment horizontal="center"/>
    </xf>
    <xf numFmtId="8" fontId="30" fillId="0" borderId="0" xfId="0" applyNumberFormat="1" applyFont="1" applyAlignment="1">
      <alignment horizontal="center"/>
    </xf>
    <xf numFmtId="44" fontId="30" fillId="0" borderId="26" xfId="1" applyFont="1" applyFill="1" applyBorder="1" applyAlignment="1" applyProtection="1">
      <alignment horizontal="center"/>
    </xf>
    <xf numFmtId="44" fontId="30" fillId="0" borderId="21" xfId="1" applyFont="1" applyFill="1" applyBorder="1" applyAlignment="1" applyProtection="1">
      <alignment horizontal="center"/>
    </xf>
    <xf numFmtId="8" fontId="30" fillId="0" borderId="33" xfId="0" applyNumberFormat="1" applyFont="1" applyBorder="1" applyAlignment="1">
      <alignment horizontal="center"/>
    </xf>
    <xf numFmtId="44" fontId="30" fillId="0" borderId="22" xfId="1" applyFont="1" applyFill="1" applyBorder="1" applyAlignment="1" applyProtection="1">
      <alignment horizontal="center"/>
    </xf>
    <xf numFmtId="165" fontId="31" fillId="0" borderId="49" xfId="0" applyNumberFormat="1" applyFont="1" applyBorder="1" applyAlignment="1">
      <alignment horizontal="left" vertical="center"/>
    </xf>
    <xf numFmtId="165" fontId="31" fillId="0" borderId="51" xfId="0" applyNumberFormat="1" applyFont="1" applyBorder="1" applyAlignment="1">
      <alignment horizontal="center" vertical="center"/>
    </xf>
    <xf numFmtId="8" fontId="31" fillId="0" borderId="31" xfId="0" applyNumberFormat="1" applyFont="1" applyBorder="1" applyAlignment="1">
      <alignment horizontal="center"/>
    </xf>
    <xf numFmtId="8" fontId="31" fillId="0" borderId="11" xfId="0" applyNumberFormat="1" applyFont="1" applyBorder="1" applyAlignment="1">
      <alignment horizontal="center"/>
    </xf>
    <xf numFmtId="8" fontId="31" fillId="0" borderId="37" xfId="0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164" fontId="31" fillId="0" borderId="0" xfId="0" applyNumberFormat="1" applyFont="1" applyAlignment="1">
      <alignment vertical="center"/>
    </xf>
    <xf numFmtId="164" fontId="31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9" fontId="4" fillId="6" borderId="14" xfId="2" applyFont="1" applyFill="1" applyBorder="1" applyAlignment="1" applyProtection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9" fontId="14" fillId="0" borderId="16" xfId="0" applyNumberFormat="1" applyFont="1" applyBorder="1" applyAlignment="1">
      <alignment horizontal="center" vertical="center"/>
    </xf>
    <xf numFmtId="9" fontId="14" fillId="0" borderId="5" xfId="0" applyNumberFormat="1" applyFont="1" applyBorder="1" applyAlignment="1">
      <alignment horizontal="center" vertical="center"/>
    </xf>
    <xf numFmtId="9" fontId="4" fillId="6" borderId="14" xfId="2" applyFont="1" applyFill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left"/>
    </xf>
    <xf numFmtId="165" fontId="4" fillId="0" borderId="15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9" fillId="0" borderId="4" xfId="0" applyFont="1" applyBorder="1"/>
    <xf numFmtId="0" fontId="4" fillId="0" borderId="53" xfId="0" applyFont="1" applyBorder="1" applyAlignment="1">
      <alignment horizontal="left" vertical="center"/>
    </xf>
    <xf numFmtId="2" fontId="4" fillId="0" borderId="53" xfId="0" applyNumberFormat="1" applyFont="1" applyBorder="1" applyAlignment="1">
      <alignment horizontal="center" vertical="center"/>
    </xf>
    <xf numFmtId="2" fontId="4" fillId="0" borderId="52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2" fontId="4" fillId="0" borderId="5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2" xfId="0" applyFont="1" applyBorder="1" applyAlignment="1">
      <alignment horizontal="left"/>
    </xf>
    <xf numFmtId="2" fontId="4" fillId="0" borderId="53" xfId="0" applyNumberFormat="1" applyFont="1" applyBorder="1" applyAlignment="1">
      <alignment horizontal="center"/>
    </xf>
    <xf numFmtId="2" fontId="4" fillId="0" borderId="52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5" borderId="26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/>
      <protection locked="0"/>
    </xf>
    <xf numFmtId="0" fontId="14" fillId="5" borderId="14" xfId="0" applyFont="1" applyFill="1" applyBorder="1" applyAlignment="1" applyProtection="1">
      <alignment horizontal="center"/>
      <protection locked="0"/>
    </xf>
    <xf numFmtId="0" fontId="14" fillId="5" borderId="26" xfId="0" applyFont="1" applyFill="1" applyBorder="1" applyAlignment="1" applyProtection="1">
      <alignment horizontal="center"/>
      <protection locked="0"/>
    </xf>
    <xf numFmtId="1" fontId="10" fillId="0" borderId="26" xfId="0" applyNumberFormat="1" applyFont="1" applyBorder="1" applyAlignment="1" applyProtection="1">
      <alignment horizontal="center"/>
      <protection locked="0"/>
    </xf>
    <xf numFmtId="2" fontId="10" fillId="0" borderId="14" xfId="0" applyNumberFormat="1" applyFont="1" applyBorder="1" applyAlignment="1" applyProtection="1">
      <alignment horizontal="center"/>
      <protection locked="0"/>
    </xf>
    <xf numFmtId="2" fontId="10" fillId="0" borderId="26" xfId="0" applyNumberFormat="1" applyFont="1" applyBorder="1" applyAlignment="1" applyProtection="1">
      <alignment horizontal="center"/>
      <protection locked="0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1" fillId="6" borderId="43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6" fontId="27" fillId="7" borderId="14" xfId="0" applyNumberFormat="1" applyFont="1" applyFill="1" applyBorder="1" applyAlignment="1" applyProtection="1">
      <alignment horizontal="center"/>
      <protection locked="0"/>
    </xf>
    <xf numFmtId="165" fontId="27" fillId="7" borderId="14" xfId="1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wrapText="1"/>
    </xf>
    <xf numFmtId="2" fontId="27" fillId="7" borderId="14" xfId="0" applyNumberFormat="1" applyFont="1" applyFill="1" applyBorder="1" applyAlignment="1" applyProtection="1">
      <alignment horizontal="center"/>
      <protection locked="0"/>
    </xf>
    <xf numFmtId="8" fontId="33" fillId="0" borderId="15" xfId="0" applyNumberFormat="1" applyFont="1" applyBorder="1" applyAlignment="1">
      <alignment horizontal="center" vertical="center"/>
    </xf>
    <xf numFmtId="165" fontId="29" fillId="0" borderId="38" xfId="0" applyNumberFormat="1" applyFont="1" applyBorder="1" applyAlignment="1">
      <alignment horizontal="left" vertical="center" indent="2"/>
    </xf>
    <xf numFmtId="165" fontId="3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165" fontId="9" fillId="0" borderId="0" xfId="0" applyNumberFormat="1" applyFont="1" applyProtection="1">
      <protection locked="0"/>
    </xf>
    <xf numFmtId="2" fontId="9" fillId="0" borderId="0" xfId="0" applyNumberFormat="1" applyFont="1" applyAlignment="1">
      <alignment horizontal="center"/>
    </xf>
    <xf numFmtId="0" fontId="2" fillId="0" borderId="4" xfId="0" applyFont="1" applyBorder="1" applyProtection="1">
      <protection locked="0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165" fontId="31" fillId="0" borderId="60" xfId="0" applyNumberFormat="1" applyFont="1" applyBorder="1" applyAlignment="1">
      <alignment horizontal="center" vertical="center"/>
    </xf>
    <xf numFmtId="44" fontId="34" fillId="0" borderId="33" xfId="1" applyFont="1" applyFill="1" applyBorder="1" applyAlignment="1" applyProtection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44" fontId="34" fillId="0" borderId="24" xfId="1" applyFont="1" applyFill="1" applyBorder="1" applyAlignment="1" applyProtection="1">
      <alignment horizontal="center" vertical="center"/>
    </xf>
    <xf numFmtId="44" fontId="34" fillId="0" borderId="45" xfId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8" fontId="34" fillId="0" borderId="25" xfId="0" applyNumberFormat="1" applyFont="1" applyBorder="1" applyAlignment="1">
      <alignment horizontal="center" vertical="center"/>
    </xf>
    <xf numFmtId="8" fontId="17" fillId="0" borderId="29" xfId="0" applyNumberFormat="1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/>
    </xf>
    <xf numFmtId="2" fontId="17" fillId="0" borderId="15" xfId="0" applyNumberFormat="1" applyFont="1" applyBorder="1" applyAlignment="1">
      <alignment horizontal="center" vertical="center"/>
    </xf>
    <xf numFmtId="2" fontId="17" fillId="0" borderId="53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9" fontId="17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9" fontId="17" fillId="0" borderId="16" xfId="0" applyNumberFormat="1" applyFont="1" applyBorder="1" applyAlignment="1">
      <alignment horizontal="center"/>
    </xf>
    <xf numFmtId="9" fontId="17" fillId="0" borderId="16" xfId="2" applyFont="1" applyFill="1" applyBorder="1" applyAlignment="1" applyProtection="1">
      <alignment horizontal="center" vertical="center"/>
    </xf>
    <xf numFmtId="9" fontId="17" fillId="0" borderId="16" xfId="2" applyFont="1" applyFill="1" applyBorder="1" applyAlignment="1">
      <alignment horizontal="center"/>
    </xf>
    <xf numFmtId="44" fontId="34" fillId="0" borderId="17" xfId="1" applyFont="1" applyFill="1" applyBorder="1" applyAlignment="1" applyProtection="1">
      <alignment horizontal="center" vertical="center"/>
    </xf>
    <xf numFmtId="8" fontId="34" fillId="0" borderId="19" xfId="0" applyNumberFormat="1" applyFont="1" applyBorder="1" applyAlignment="1">
      <alignment horizontal="center" vertical="center"/>
    </xf>
    <xf numFmtId="44" fontId="34" fillId="0" borderId="32" xfId="1" applyFont="1" applyFill="1" applyBorder="1" applyAlignment="1" applyProtection="1">
      <alignment horizontal="center" vertical="center"/>
    </xf>
    <xf numFmtId="8" fontId="34" fillId="0" borderId="29" xfId="0" applyNumberFormat="1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3" fillId="0" borderId="7" xfId="0" applyFont="1" applyBorder="1"/>
    <xf numFmtId="8" fontId="3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9" fillId="0" borderId="31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9" fontId="6" fillId="6" borderId="14" xfId="2" applyFont="1" applyFill="1" applyBorder="1" applyAlignment="1" applyProtection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9" fontId="16" fillId="0" borderId="16" xfId="0" applyNumberFormat="1" applyFont="1" applyBorder="1" applyAlignment="1">
      <alignment horizontal="center" vertical="center"/>
    </xf>
    <xf numFmtId="9" fontId="16" fillId="0" borderId="5" xfId="0" applyNumberFormat="1" applyFont="1" applyBorder="1" applyAlignment="1">
      <alignment horizontal="center" vertical="center"/>
    </xf>
    <xf numFmtId="0" fontId="6" fillId="6" borderId="42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9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6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9" fontId="6" fillId="0" borderId="1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6" fillId="5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6" fillId="5" borderId="26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  <xf numFmtId="1" fontId="5" fillId="0" borderId="26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6" fillId="5" borderId="14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6" fillId="5" borderId="26" xfId="0" applyFont="1" applyFill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2" fontId="5" fillId="0" borderId="26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5" fillId="8" borderId="4" xfId="0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left" vertical="center" indent="3"/>
    </xf>
    <xf numFmtId="0" fontId="5" fillId="8" borderId="28" xfId="0" applyFont="1" applyFill="1" applyBorder="1" applyAlignment="1">
      <alignment horizontal="right" vertical="center"/>
    </xf>
    <xf numFmtId="0" fontId="5" fillId="8" borderId="13" xfId="0" applyFont="1" applyFill="1" applyBorder="1" applyAlignment="1">
      <alignment horizontal="right" vertical="center"/>
    </xf>
    <xf numFmtId="0" fontId="3" fillId="8" borderId="13" xfId="0" applyFont="1" applyFill="1" applyBorder="1" applyAlignment="1">
      <alignment vertical="center"/>
    </xf>
    <xf numFmtId="0" fontId="3" fillId="8" borderId="13" xfId="0" applyFont="1" applyFill="1" applyBorder="1" applyAlignment="1">
      <alignment horizontal="left" vertical="center" indent="3"/>
    </xf>
    <xf numFmtId="0" fontId="3" fillId="8" borderId="20" xfId="0" applyFont="1" applyFill="1" applyBorder="1" applyAlignment="1">
      <alignment horizontal="left" vertical="center" indent="3"/>
    </xf>
    <xf numFmtId="0" fontId="5" fillId="8" borderId="0" xfId="0" applyFont="1" applyFill="1" applyAlignment="1">
      <alignment horizontal="right" vertical="center"/>
    </xf>
    <xf numFmtId="0" fontId="3" fillId="8" borderId="0" xfId="0" applyFont="1" applyFill="1" applyAlignment="1">
      <alignment vertical="center"/>
    </xf>
    <xf numFmtId="0" fontId="3" fillId="8" borderId="0" xfId="0" applyFont="1" applyFill="1" applyAlignment="1">
      <alignment horizontal="left" vertical="center" indent="3"/>
    </xf>
    <xf numFmtId="0" fontId="0" fillId="0" borderId="4" xfId="0" applyBorder="1"/>
    <xf numFmtId="0" fontId="0" fillId="8" borderId="4" xfId="0" applyFill="1" applyBorder="1"/>
    <xf numFmtId="0" fontId="15" fillId="9" borderId="10" xfId="0" applyFont="1" applyFill="1" applyBorder="1"/>
    <xf numFmtId="0" fontId="15" fillId="9" borderId="11" xfId="0" applyFont="1" applyFill="1" applyBorder="1"/>
    <xf numFmtId="0" fontId="15" fillId="9" borderId="6" xfId="0" applyFont="1" applyFill="1" applyBorder="1"/>
    <xf numFmtId="0" fontId="14" fillId="9" borderId="4" xfId="0" applyFont="1" applyFill="1" applyBorder="1"/>
    <xf numFmtId="0" fontId="14" fillId="9" borderId="0" xfId="0" applyFont="1" applyFill="1"/>
    <xf numFmtId="0" fontId="13" fillId="9" borderId="5" xfId="0" applyFont="1" applyFill="1" applyBorder="1"/>
    <xf numFmtId="0" fontId="36" fillId="9" borderId="4" xfId="0" applyFont="1" applyFill="1" applyBorder="1"/>
    <xf numFmtId="0" fontId="36" fillId="9" borderId="0" xfId="0" applyFont="1" applyFill="1"/>
    <xf numFmtId="0" fontId="36" fillId="9" borderId="5" xfId="0" applyFont="1" applyFill="1" applyBorder="1"/>
    <xf numFmtId="0" fontId="36" fillId="9" borderId="10" xfId="0" applyFont="1" applyFill="1" applyBorder="1"/>
    <xf numFmtId="0" fontId="36" fillId="9" borderId="11" xfId="0" applyFont="1" applyFill="1" applyBorder="1"/>
    <xf numFmtId="0" fontId="36" fillId="9" borderId="6" xfId="0" applyFont="1" applyFill="1" applyBorder="1"/>
    <xf numFmtId="0" fontId="31" fillId="6" borderId="41" xfId="0" applyFont="1" applyFill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165" fontId="9" fillId="0" borderId="41" xfId="0" applyNumberFormat="1" applyFont="1" applyBorder="1" applyAlignment="1">
      <alignment horizontal="left" vertical="center"/>
    </xf>
    <xf numFmtId="165" fontId="9" fillId="0" borderId="38" xfId="0" applyNumberFormat="1" applyFont="1" applyBorder="1" applyAlignment="1">
      <alignment horizontal="left" vertical="center" indent="2"/>
    </xf>
    <xf numFmtId="0" fontId="29" fillId="0" borderId="39" xfId="0" applyFont="1" applyBorder="1" applyAlignment="1">
      <alignment horizontal="left"/>
    </xf>
    <xf numFmtId="0" fontId="37" fillId="0" borderId="63" xfId="0" applyFont="1" applyBorder="1" applyAlignment="1">
      <alignment horizontal="left"/>
    </xf>
    <xf numFmtId="0" fontId="39" fillId="0" borderId="36" xfId="0" applyFont="1" applyBorder="1" applyAlignment="1">
      <alignment horizontal="left"/>
    </xf>
    <xf numFmtId="0" fontId="9" fillId="0" borderId="41" xfId="0" applyFont="1" applyBorder="1"/>
    <xf numFmtId="0" fontId="9" fillId="0" borderId="36" xfId="0" applyFont="1" applyBorder="1"/>
    <xf numFmtId="0" fontId="29" fillId="0" borderId="36" xfId="0" applyFont="1" applyBorder="1" applyAlignment="1">
      <alignment horizontal="left"/>
    </xf>
    <xf numFmtId="0" fontId="38" fillId="0" borderId="63" xfId="0" applyFont="1" applyBorder="1"/>
    <xf numFmtId="0" fontId="40" fillId="0" borderId="38" xfId="0" applyFont="1" applyBorder="1"/>
    <xf numFmtId="165" fontId="38" fillId="0" borderId="63" xfId="0" applyNumberFormat="1" applyFont="1" applyBorder="1" applyAlignment="1">
      <alignment horizontal="left" vertical="center"/>
    </xf>
    <xf numFmtId="165" fontId="40" fillId="0" borderId="49" xfId="0" applyNumberFormat="1" applyFont="1" applyBorder="1" applyAlignment="1">
      <alignment horizontal="left" vertical="center"/>
    </xf>
    <xf numFmtId="8" fontId="34" fillId="0" borderId="14" xfId="1" applyNumberFormat="1" applyFont="1" applyFill="1" applyBorder="1" applyAlignment="1" applyProtection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44" fontId="34" fillId="0" borderId="14" xfId="0" applyNumberFormat="1" applyFont="1" applyBorder="1" applyAlignment="1">
      <alignment horizontal="center"/>
    </xf>
    <xf numFmtId="8" fontId="34" fillId="0" borderId="15" xfId="0" applyNumberFormat="1" applyFont="1" applyBorder="1" applyAlignment="1">
      <alignment horizontal="center" vertical="center"/>
    </xf>
    <xf numFmtId="44" fontId="34" fillId="0" borderId="14" xfId="1" applyFont="1" applyFill="1" applyBorder="1" applyAlignment="1" applyProtection="1">
      <alignment horizontal="center" vertical="center"/>
    </xf>
    <xf numFmtId="44" fontId="35" fillId="0" borderId="14" xfId="1" applyFont="1" applyFill="1" applyBorder="1" applyAlignment="1" applyProtection="1">
      <alignment horizontal="center" vertical="center"/>
    </xf>
    <xf numFmtId="8" fontId="27" fillId="7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top" wrapText="1"/>
    </xf>
    <xf numFmtId="0" fontId="17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0" fillId="0" borderId="0" xfId="0" applyProtection="1">
      <protection locked="0"/>
    </xf>
    <xf numFmtId="0" fontId="42" fillId="0" borderId="0" xfId="0" applyFont="1" applyProtection="1">
      <protection locked="0"/>
    </xf>
    <xf numFmtId="4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 textRotation="180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9" fillId="8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10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9" fillId="8" borderId="6" xfId="0" applyFont="1" applyFill="1" applyBorder="1" applyProtection="1">
      <protection locked="0"/>
    </xf>
    <xf numFmtId="0" fontId="9" fillId="8" borderId="11" xfId="0" applyFont="1" applyFill="1" applyBorder="1" applyProtection="1">
      <protection locked="0"/>
    </xf>
    <xf numFmtId="0" fontId="3" fillId="8" borderId="11" xfId="0" applyFont="1" applyFill="1" applyBorder="1" applyAlignment="1" applyProtection="1">
      <alignment horizontal="center"/>
      <protection locked="0"/>
    </xf>
    <xf numFmtId="0" fontId="9" fillId="10" borderId="11" xfId="0" applyFont="1" applyFill="1" applyBorder="1" applyProtection="1">
      <protection locked="0"/>
    </xf>
    <xf numFmtId="0" fontId="9" fillId="10" borderId="6" xfId="0" applyFont="1" applyFill="1" applyBorder="1" applyProtection="1">
      <protection locked="0"/>
    </xf>
    <xf numFmtId="0" fontId="9" fillId="8" borderId="13" xfId="0" applyFont="1" applyFill="1" applyBorder="1" applyProtection="1">
      <protection locked="0"/>
    </xf>
    <xf numFmtId="0" fontId="9" fillId="8" borderId="10" xfId="0" applyFont="1" applyFill="1" applyBorder="1" applyProtection="1">
      <protection locked="0"/>
    </xf>
    <xf numFmtId="0" fontId="9" fillId="8" borderId="5" xfId="0" applyFont="1" applyFill="1" applyBorder="1" applyProtection="1">
      <protection locked="0"/>
    </xf>
    <xf numFmtId="0" fontId="9" fillId="10" borderId="0" xfId="0" applyFont="1" applyFill="1" applyProtection="1">
      <protection locked="0"/>
    </xf>
    <xf numFmtId="0" fontId="0" fillId="10" borderId="5" xfId="0" applyFill="1" applyBorder="1" applyAlignment="1" applyProtection="1">
      <alignment horizontal="left" vertical="center"/>
      <protection locked="0"/>
    </xf>
    <xf numFmtId="0" fontId="9" fillId="8" borderId="4" xfId="0" applyFont="1" applyFill="1" applyBorder="1" applyProtection="1">
      <protection locked="0"/>
    </xf>
    <xf numFmtId="0" fontId="3" fillId="8" borderId="5" xfId="0" applyFont="1" applyFill="1" applyBorder="1" applyAlignment="1" applyProtection="1">
      <alignment horizontal="center"/>
      <protection locked="0"/>
    </xf>
    <xf numFmtId="0" fontId="9" fillId="8" borderId="5" xfId="0" applyFont="1" applyFill="1" applyBorder="1" applyAlignment="1" applyProtection="1">
      <alignment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10" borderId="5" xfId="0" applyFont="1" applyFill="1" applyBorder="1" applyAlignment="1" applyProtection="1">
      <alignment horizontal="center"/>
      <protection locked="0"/>
    </xf>
    <xf numFmtId="0" fontId="3" fillId="8" borderId="64" xfId="0" applyFont="1" applyFill="1" applyBorder="1" applyAlignment="1" applyProtection="1">
      <alignment horizontal="center"/>
      <protection locked="0"/>
    </xf>
    <xf numFmtId="0" fontId="9" fillId="8" borderId="3" xfId="0" applyFont="1" applyFill="1" applyBorder="1" applyAlignment="1" applyProtection="1">
      <alignment vertical="center"/>
      <protection locked="0"/>
    </xf>
    <xf numFmtId="0" fontId="9" fillId="8" borderId="2" xfId="0" applyFont="1" applyFill="1" applyBorder="1" applyAlignment="1" applyProtection="1">
      <alignment vertical="center"/>
      <protection locked="0"/>
    </xf>
    <xf numFmtId="0" fontId="9" fillId="10" borderId="5" xfId="0" applyFont="1" applyFill="1" applyBorder="1" applyAlignment="1" applyProtection="1">
      <alignment vertical="center"/>
      <protection locked="0"/>
    </xf>
    <xf numFmtId="0" fontId="9" fillId="11" borderId="5" xfId="0" applyFont="1" applyFill="1" applyBorder="1" applyProtection="1">
      <protection locked="0"/>
    </xf>
    <xf numFmtId="0" fontId="9" fillId="11" borderId="0" xfId="0" applyFont="1" applyFill="1" applyProtection="1">
      <protection locked="0"/>
    </xf>
    <xf numFmtId="0" fontId="3" fillId="11" borderId="11" xfId="0" applyFont="1" applyFill="1" applyBorder="1" applyAlignment="1" applyProtection="1">
      <alignment horizontal="center"/>
      <protection locked="0"/>
    </xf>
    <xf numFmtId="0" fontId="9" fillId="12" borderId="4" xfId="0" applyFont="1" applyFill="1" applyBorder="1" applyProtection="1">
      <protection locked="0"/>
    </xf>
    <xf numFmtId="0" fontId="9" fillId="12" borderId="5" xfId="0" applyFont="1" applyFill="1" applyBorder="1" applyProtection="1">
      <protection locked="0"/>
    </xf>
    <xf numFmtId="0" fontId="9" fillId="11" borderId="4" xfId="0" applyFont="1" applyFill="1" applyBorder="1" applyProtection="1">
      <protection locked="0"/>
    </xf>
    <xf numFmtId="0" fontId="9" fillId="11" borderId="6" xfId="0" applyFont="1" applyFill="1" applyBorder="1" applyProtection="1">
      <protection locked="0"/>
    </xf>
    <xf numFmtId="0" fontId="9" fillId="11" borderId="11" xfId="0" applyFont="1" applyFill="1" applyBorder="1" applyProtection="1">
      <protection locked="0"/>
    </xf>
    <xf numFmtId="0" fontId="9" fillId="12" borderId="11" xfId="0" applyFont="1" applyFill="1" applyBorder="1" applyProtection="1">
      <protection locked="0"/>
    </xf>
    <xf numFmtId="0" fontId="9" fillId="12" borderId="6" xfId="0" applyFont="1" applyFill="1" applyBorder="1" applyProtection="1">
      <protection locked="0"/>
    </xf>
    <xf numFmtId="0" fontId="9" fillId="11" borderId="10" xfId="0" applyFont="1" applyFill="1" applyBorder="1" applyProtection="1">
      <protection locked="0"/>
    </xf>
    <xf numFmtId="0" fontId="9" fillId="10" borderId="5" xfId="0" applyFont="1" applyFill="1" applyBorder="1" applyProtection="1">
      <protection locked="0"/>
    </xf>
    <xf numFmtId="0" fontId="12" fillId="8" borderId="0" xfId="0" applyFont="1" applyFill="1" applyProtection="1">
      <protection locked="0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4" fillId="0" borderId="0" xfId="0" applyFont="1" applyAlignment="1" applyProtection="1">
      <alignment horizontal="center"/>
      <protection locked="0"/>
    </xf>
    <xf numFmtId="3" fontId="10" fillId="0" borderId="0" xfId="4" applyNumberFormat="1" applyFont="1" applyAlignment="1">
      <alignment horizontal="center"/>
    </xf>
    <xf numFmtId="0" fontId="9" fillId="8" borderId="3" xfId="0" applyFont="1" applyFill="1" applyBorder="1" applyProtection="1">
      <protection locked="0"/>
    </xf>
    <xf numFmtId="0" fontId="9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center"/>
      <protection locked="0"/>
    </xf>
    <xf numFmtId="0" fontId="9" fillId="10" borderId="2" xfId="0" applyFont="1" applyFill="1" applyBorder="1" applyProtection="1">
      <protection locked="0"/>
    </xf>
    <xf numFmtId="0" fontId="9" fillId="10" borderId="3" xfId="0" applyFont="1" applyFill="1" applyBorder="1" applyProtection="1">
      <protection locked="0"/>
    </xf>
    <xf numFmtId="0" fontId="9" fillId="8" borderId="1" xfId="0" applyFont="1" applyFill="1" applyBorder="1" applyProtection="1">
      <protection locked="0"/>
    </xf>
    <xf numFmtId="0" fontId="4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6" fillId="0" borderId="0" xfId="0" applyFont="1"/>
    <xf numFmtId="0" fontId="13" fillId="0" borderId="0" xfId="0" applyFont="1"/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indent="3"/>
    </xf>
    <xf numFmtId="0" fontId="3" fillId="8" borderId="6" xfId="0" applyFont="1" applyFill="1" applyBorder="1" applyAlignment="1">
      <alignment horizontal="left" vertical="center" indent="3"/>
    </xf>
    <xf numFmtId="0" fontId="16" fillId="9" borderId="4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4" fillId="9" borderId="28" xfId="0" applyFont="1" applyFill="1" applyBorder="1" applyAlignment="1" applyProtection="1">
      <alignment horizontal="center"/>
      <protection locked="0"/>
    </xf>
    <xf numFmtId="0" fontId="14" fillId="9" borderId="13" xfId="0" applyFont="1" applyFill="1" applyBorder="1" applyAlignment="1" applyProtection="1">
      <alignment horizontal="center"/>
      <protection locked="0"/>
    </xf>
    <xf numFmtId="0" fontId="14" fillId="9" borderId="20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4" borderId="4" xfId="0" applyFont="1" applyFill="1" applyBorder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14" fillId="4" borderId="5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9" fillId="6" borderId="29" xfId="0" applyFont="1" applyFill="1" applyBorder="1" applyAlignment="1">
      <alignment horizontal="center"/>
    </xf>
    <xf numFmtId="0" fontId="9" fillId="6" borderId="59" xfId="0" applyFont="1" applyFill="1" applyBorder="1" applyAlignment="1">
      <alignment horizontal="center"/>
    </xf>
    <xf numFmtId="0" fontId="9" fillId="6" borderId="30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41" fillId="7" borderId="28" xfId="0" applyFont="1" applyFill="1" applyBorder="1" applyAlignment="1">
      <alignment horizontal="center" vertical="center"/>
    </xf>
    <xf numFmtId="0" fontId="41" fillId="7" borderId="13" xfId="0" applyFont="1" applyFill="1" applyBorder="1" applyAlignment="1">
      <alignment horizontal="center" vertical="center"/>
    </xf>
    <xf numFmtId="0" fontId="41" fillId="7" borderId="20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165" fontId="9" fillId="0" borderId="41" xfId="0" applyNumberFormat="1" applyFont="1" applyBorder="1" applyAlignment="1">
      <alignment horizontal="left" vertical="center"/>
    </xf>
    <xf numFmtId="165" fontId="9" fillId="0" borderId="40" xfId="0" applyNumberFormat="1" applyFont="1" applyBorder="1" applyAlignment="1">
      <alignment horizontal="left" vertical="center"/>
    </xf>
    <xf numFmtId="0" fontId="6" fillId="7" borderId="55" xfId="0" applyFont="1" applyFill="1" applyBorder="1" applyAlignment="1" applyProtection="1">
      <alignment horizontal="center"/>
      <protection locked="0"/>
    </xf>
    <xf numFmtId="0" fontId="6" fillId="7" borderId="56" xfId="0" applyFont="1" applyFill="1" applyBorder="1" applyAlignment="1" applyProtection="1">
      <alignment horizontal="center"/>
      <protection locked="0"/>
    </xf>
    <xf numFmtId="0" fontId="6" fillId="7" borderId="58" xfId="0" applyFont="1" applyFill="1" applyBorder="1" applyAlignment="1" applyProtection="1">
      <alignment horizontal="center"/>
      <protection locked="0"/>
    </xf>
    <xf numFmtId="0" fontId="6" fillId="7" borderId="57" xfId="0" applyFont="1" applyFill="1" applyBorder="1" applyAlignment="1" applyProtection="1">
      <alignment horizontal="center"/>
      <protection locked="0"/>
    </xf>
    <xf numFmtId="165" fontId="9" fillId="0" borderId="16" xfId="0" applyNumberFormat="1" applyFont="1" applyBorder="1" applyAlignment="1">
      <alignment horizontal="center" vertical="center"/>
    </xf>
    <xf numFmtId="9" fontId="10" fillId="3" borderId="0" xfId="0" applyNumberFormat="1" applyFont="1" applyFill="1" applyAlignment="1">
      <alignment horizontal="center"/>
    </xf>
    <xf numFmtId="9" fontId="10" fillId="3" borderId="16" xfId="0" applyNumberFormat="1" applyFont="1" applyFill="1" applyBorder="1" applyAlignment="1">
      <alignment horizontal="center"/>
    </xf>
    <xf numFmtId="9" fontId="14" fillId="2" borderId="0" xfId="0" applyNumberFormat="1" applyFont="1" applyFill="1" applyAlignment="1">
      <alignment horizontal="center" vertical="center"/>
    </xf>
    <xf numFmtId="9" fontId="14" fillId="2" borderId="16" xfId="0" applyNumberFormat="1" applyFont="1" applyFill="1" applyBorder="1" applyAlignment="1">
      <alignment horizontal="center" vertical="center"/>
    </xf>
    <xf numFmtId="9" fontId="14" fillId="2" borderId="5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Alignment="1">
      <alignment horizontal="center" vertical="center"/>
    </xf>
    <xf numFmtId="9" fontId="10" fillId="3" borderId="16" xfId="0" applyNumberFormat="1" applyFont="1" applyFill="1" applyBorder="1" applyAlignment="1">
      <alignment horizontal="center" vertical="center"/>
    </xf>
    <xf numFmtId="9" fontId="10" fillId="3" borderId="5" xfId="0" applyNumberFormat="1" applyFont="1" applyFill="1" applyBorder="1" applyAlignment="1">
      <alignment horizontal="center" vertical="center"/>
    </xf>
    <xf numFmtId="9" fontId="14" fillId="4" borderId="0" xfId="0" applyNumberFormat="1" applyFont="1" applyFill="1" applyAlignment="1">
      <alignment horizontal="center" vertical="center"/>
    </xf>
    <xf numFmtId="9" fontId="14" fillId="4" borderId="16" xfId="0" applyNumberFormat="1" applyFont="1" applyFill="1" applyBorder="1" applyAlignment="1">
      <alignment horizontal="center" vertical="center"/>
    </xf>
    <xf numFmtId="9" fontId="14" fillId="4" borderId="5" xfId="0" applyNumberFormat="1" applyFont="1" applyFill="1" applyBorder="1" applyAlignment="1">
      <alignment horizontal="center" vertical="center"/>
    </xf>
    <xf numFmtId="9" fontId="14" fillId="2" borderId="0" xfId="0" applyNumberFormat="1" applyFont="1" applyFill="1" applyAlignment="1">
      <alignment horizontal="center"/>
    </xf>
    <xf numFmtId="9" fontId="14" fillId="2" borderId="16" xfId="0" applyNumberFormat="1" applyFont="1" applyFill="1" applyBorder="1" applyAlignment="1">
      <alignment horizontal="center"/>
    </xf>
    <xf numFmtId="9" fontId="14" fillId="4" borderId="0" xfId="0" applyNumberFormat="1" applyFont="1" applyFill="1" applyAlignment="1">
      <alignment horizontal="center"/>
    </xf>
    <xf numFmtId="9" fontId="14" fillId="4" borderId="16" xfId="0" applyNumberFormat="1" applyFont="1" applyFill="1" applyBorder="1" applyAlignment="1">
      <alignment horizontal="center"/>
    </xf>
    <xf numFmtId="0" fontId="14" fillId="4" borderId="1" xfId="0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4" fillId="4" borderId="3" xfId="0" applyFont="1" applyFill="1" applyBorder="1" applyAlignment="1" applyProtection="1">
      <alignment horizontal="center"/>
      <protection locked="0"/>
    </xf>
    <xf numFmtId="0" fontId="16" fillId="9" borderId="4" xfId="0" applyFont="1" applyFill="1" applyBorder="1" applyAlignment="1" applyProtection="1">
      <alignment horizontal="center" vertical="center"/>
      <protection locked="0"/>
    </xf>
    <xf numFmtId="0" fontId="16" fillId="9" borderId="0" xfId="0" applyFont="1" applyFill="1" applyAlignment="1" applyProtection="1">
      <alignment horizontal="center" vertical="center"/>
      <protection locked="0"/>
    </xf>
    <xf numFmtId="0" fontId="16" fillId="9" borderId="5" xfId="0" applyFont="1" applyFill="1" applyBorder="1" applyAlignment="1" applyProtection="1">
      <alignment horizontal="center" vertical="center"/>
      <protection locked="0"/>
    </xf>
    <xf numFmtId="9" fontId="16" fillId="4" borderId="7" xfId="0" applyNumberFormat="1" applyFont="1" applyFill="1" applyBorder="1" applyAlignment="1">
      <alignment horizontal="center"/>
    </xf>
    <xf numFmtId="9" fontId="16" fillId="4" borderId="18" xfId="0" applyNumberFormat="1" applyFont="1" applyFill="1" applyBorder="1" applyAlignment="1">
      <alignment horizontal="center"/>
    </xf>
    <xf numFmtId="9" fontId="16" fillId="2" borderId="0" xfId="0" applyNumberFormat="1" applyFont="1" applyFill="1" applyAlignment="1">
      <alignment horizontal="center"/>
    </xf>
    <xf numFmtId="9" fontId="16" fillId="2" borderId="16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16" xfId="0" applyNumberFormat="1" applyFont="1" applyFill="1" applyBorder="1" applyAlignment="1">
      <alignment horizontal="center"/>
    </xf>
    <xf numFmtId="9" fontId="16" fillId="4" borderId="0" xfId="0" applyNumberFormat="1" applyFont="1" applyFill="1" applyAlignment="1">
      <alignment horizontal="center"/>
    </xf>
    <xf numFmtId="9" fontId="16" fillId="4" borderId="16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 vertical="center"/>
    </xf>
    <xf numFmtId="9" fontId="5" fillId="3" borderId="16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9" fontId="16" fillId="4" borderId="0" xfId="0" applyNumberFormat="1" applyFont="1" applyFill="1" applyAlignment="1">
      <alignment horizontal="center" vertical="center"/>
    </xf>
    <xf numFmtId="9" fontId="16" fillId="4" borderId="16" xfId="0" applyNumberFormat="1" applyFont="1" applyFill="1" applyBorder="1" applyAlignment="1">
      <alignment horizontal="center" vertical="center"/>
    </xf>
    <xf numFmtId="9" fontId="16" fillId="4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9" fontId="16" fillId="2" borderId="0" xfId="0" applyNumberFormat="1" applyFont="1" applyFill="1" applyAlignment="1">
      <alignment horizontal="center" vertical="center"/>
    </xf>
    <xf numFmtId="9" fontId="16" fillId="2" borderId="16" xfId="0" applyNumberFormat="1" applyFont="1" applyFill="1" applyBorder="1" applyAlignment="1">
      <alignment horizontal="center" vertical="center"/>
    </xf>
    <xf numFmtId="9" fontId="16" fillId="2" borderId="5" xfId="0" applyNumberFormat="1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left" wrapText="1"/>
      <protection locked="0"/>
    </xf>
    <xf numFmtId="0" fontId="35" fillId="11" borderId="5" xfId="0" applyFont="1" applyFill="1" applyBorder="1" applyAlignment="1" applyProtection="1">
      <alignment horizontal="center" vertical="center" wrapText="1"/>
      <protection locked="0"/>
    </xf>
    <xf numFmtId="0" fontId="35" fillId="11" borderId="4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left" vertical="center" textRotation="180" wrapText="1"/>
      <protection locked="0"/>
    </xf>
    <xf numFmtId="0" fontId="3" fillId="8" borderId="4" xfId="0" applyFont="1" applyFill="1" applyBorder="1" applyAlignment="1" applyProtection="1">
      <alignment horizontal="left" vertical="center" textRotation="180" wrapText="1"/>
      <protection locked="0"/>
    </xf>
    <xf numFmtId="0" fontId="3" fillId="8" borderId="10" xfId="0" applyFont="1" applyFill="1" applyBorder="1" applyAlignment="1" applyProtection="1">
      <alignment horizontal="left" vertical="center" textRotation="180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8" borderId="11" xfId="0" applyFill="1" applyBorder="1" applyAlignment="1" applyProtection="1">
      <alignment horizontal="left" vertical="center"/>
      <protection locked="0"/>
    </xf>
    <xf numFmtId="0" fontId="0" fillId="8" borderId="6" xfId="0" applyFill="1" applyBorder="1" applyAlignment="1" applyProtection="1">
      <alignment horizontal="left" vertical="center"/>
      <protection locked="0"/>
    </xf>
    <xf numFmtId="0" fontId="3" fillId="10" borderId="2" xfId="0" applyFont="1" applyFill="1" applyBorder="1" applyAlignment="1" applyProtection="1">
      <alignment horizontal="center" wrapText="1"/>
      <protection locked="0"/>
    </xf>
    <xf numFmtId="0" fontId="3" fillId="10" borderId="0" xfId="0" applyFont="1" applyFill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0" fontId="29" fillId="8" borderId="0" xfId="0" applyFont="1" applyFill="1" applyAlignment="1" applyProtection="1">
      <alignment horizontal="center"/>
      <protection locked="0"/>
    </xf>
    <xf numFmtId="0" fontId="3" fillId="10" borderId="11" xfId="0" applyFont="1" applyFill="1" applyBorder="1" applyAlignment="1" applyProtection="1">
      <alignment horizontal="center" wrapText="1"/>
      <protection locked="0"/>
    </xf>
    <xf numFmtId="0" fontId="14" fillId="9" borderId="4" xfId="0" applyFont="1" applyFill="1" applyBorder="1" applyAlignment="1" applyProtection="1">
      <alignment horizontal="center"/>
      <protection locked="0"/>
    </xf>
    <xf numFmtId="0" fontId="14" fillId="9" borderId="0" xfId="0" applyFont="1" applyFill="1" applyAlignment="1" applyProtection="1">
      <alignment horizontal="center"/>
      <protection locked="0"/>
    </xf>
    <xf numFmtId="0" fontId="14" fillId="9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8453B"/>
      <color rgb="FFF2C400"/>
      <color rgb="FF0DB14B"/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Comparison of Variable and Fixed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Data'!$I$2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F2C4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Lit>
              <c:ptCount val="3"/>
              <c:pt idx="0">
                <c:v>Alfalfa</c:v>
              </c:pt>
              <c:pt idx="1">
                <c:v> Alfalfa/Grass</c:v>
              </c:pt>
              <c:pt idx="2">
                <c:v> Grass</c:v>
              </c:pt>
            </c:strLit>
          </c:cat>
          <c:val>
            <c:numRef>
              <c:f>'Chart Data'!$J$2:$L$2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8-48CB-B03C-72F0EAA1677E}"/>
            </c:ext>
          </c:extLst>
        </c:ser>
        <c:ser>
          <c:idx val="1"/>
          <c:order val="1"/>
          <c:tx>
            <c:strRef>
              <c:f>'Chart Data'!$I$3</c:f>
              <c:strCache>
                <c:ptCount val="1"/>
                <c:pt idx="0">
                  <c:v>Fixed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Lit>
              <c:ptCount val="3"/>
              <c:pt idx="0">
                <c:v>Alfalfa</c:v>
              </c:pt>
              <c:pt idx="1">
                <c:v> Alfalfa/Grass</c:v>
              </c:pt>
              <c:pt idx="2">
                <c:v> Grass</c:v>
              </c:pt>
            </c:strLit>
          </c:cat>
          <c:val>
            <c:numRef>
              <c:f>'Chart Data'!$J$3:$L$3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8-48CB-B03C-72F0EAA16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257743"/>
        <c:axId val="94282414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'Chart Data'!$I$8</c15:sqref>
                        </c15:formulaRef>
                      </c:ext>
                    </c:extLst>
                    <c:strCache>
                      <c:ptCount val="1"/>
                      <c:pt idx="0">
                        <c:v>Variable &amp; Fixed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3"/>
                    <c:pt idx="0">
                      <c:v>Alfalfa</c:v>
                    </c:pt>
                    <c:pt idx="1">
                      <c:v> Alfalfa/Grass</c:v>
                    </c:pt>
                    <c:pt idx="2">
                      <c:v> Grass</c:v>
                    </c:pt>
                  </c:strLit>
                </c:cat>
                <c:val>
                  <c:numRef>
                    <c:extLst>
                      <c:ext uri="{02D57815-91ED-43cb-92C2-25804820EDAC}">
                        <c15:formulaRef>
                          <c15:sqref>'Chart Data'!$J$8:$L$8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F8-48CB-B03C-72F0EAA1677E}"/>
                  </c:ext>
                </c:extLst>
              </c15:ser>
            </c15:filteredBarSeries>
          </c:ext>
        </c:extLst>
      </c:barChart>
      <c:catAx>
        <c:axId val="13025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24143"/>
        <c:crosses val="autoZero"/>
        <c:auto val="1"/>
        <c:lblAlgn val="ctr"/>
        <c:lblOffset val="100"/>
        <c:noMultiLvlLbl val="0"/>
      </c:catAx>
      <c:valAx>
        <c:axId val="9428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5774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Data'!$D$1</c:f>
              <c:strCache>
                <c:ptCount val="1"/>
                <c:pt idx="0">
                  <c:v>Alfalfa Hay Seeding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Data'!$D$2:$D$44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1-4AA3-98A8-7E4A6B39C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(Alfalfa)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Data'!$B$1</c:f>
              <c:strCache>
                <c:ptCount val="1"/>
                <c:pt idx="0">
                  <c:v>Corn Silage</c:v>
                </c:pt>
              </c:strCache>
            </c:strRef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Data'!$B$2:$B$44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D-484B-8789-D2B1AE73B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(Alfalfa/Grass)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Data'!$C$1</c:f>
              <c:strCache>
                <c:ptCount val="1"/>
                <c:pt idx="0">
                  <c:v>Alfalfa Hay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Data'!$C$2:$C$44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F-429C-BA92-D01B7814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(Grass)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Data'!$D$1</c:f>
              <c:strCache>
                <c:ptCount val="1"/>
                <c:pt idx="0">
                  <c:v>Alfalfa Hay Seeding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Data'!$D$2:$D$44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1-4273-B755-362546EFA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Soybeans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0"/>
              <c:pt idx="0">
                <c:v>Seed</c:v>
              </c:pt>
              <c:pt idx="1">
                <c:v>Fertilizer</c:v>
              </c:pt>
              <c:pt idx="2">
                <c:v>Crop Chemicals</c:v>
              </c:pt>
              <c:pt idx="3">
                <c:v>Herbicides</c:v>
              </c:pt>
              <c:pt idx="4">
                <c:v>Fungicides</c:v>
              </c:pt>
              <c:pt idx="5">
                <c:v>Insecticides</c:v>
              </c:pt>
              <c:pt idx="6">
                <c:v>Crop Insurance</c:v>
              </c:pt>
              <c:pt idx="7">
                <c:v>Crop Miscellaneous</c:v>
              </c:pt>
              <c:pt idx="8">
                <c:v>Supplies</c:v>
              </c:pt>
              <c:pt idx="9">
                <c:v>Gas/Fuel</c:v>
              </c:pt>
              <c:pt idx="10">
                <c:v>Equipment Fuel</c:v>
              </c:pt>
              <c:pt idx="11">
                <c:v>Drying Propane</c:v>
              </c:pt>
              <c:pt idx="12">
                <c:v>Repairs &amp; Maintenance</c:v>
              </c:pt>
              <c:pt idx="13">
                <c:v>Repair, Machinery</c:v>
              </c:pt>
              <c:pt idx="14">
                <c:v>Repair, Buildings</c:v>
              </c:pt>
              <c:pt idx="15">
                <c:v>Custom Hire</c:v>
              </c:pt>
              <c:pt idx="16">
                <c:v>Driver &amp; Equipment Hire</c:v>
              </c:pt>
              <c:pt idx="17">
                <c:v>Equipment Hire</c:v>
              </c:pt>
              <c:pt idx="18">
                <c:v>Custom Application</c:v>
              </c:pt>
              <c:pt idx="19">
                <c:v>Freight &amp; Trucking</c:v>
              </c:pt>
              <c:pt idx="20">
                <c:v>Storage</c:v>
              </c:pt>
              <c:pt idx="21">
                <c:v>Utilities</c:v>
              </c:pt>
              <c:pt idx="22">
                <c:v>Irrigation</c:v>
              </c:pt>
              <c:pt idx="23">
                <c:v>Repairs</c:v>
              </c:pt>
              <c:pt idx="24">
                <c:v>Fuel/Electricity</c:v>
              </c:pt>
              <c:pt idx="25">
                <c:v>Marketing</c:v>
              </c:pt>
              <c:pt idx="26">
                <c:v>Hired Labor</c:v>
              </c:pt>
              <c:pt idx="27">
                <c:v>Interest (Operating)</c:v>
              </c:pt>
              <c:pt idx="28">
                <c:v>Other (variable)</c:v>
              </c:pt>
              <c:pt idx="29">
                <c:v>Farm Insurance</c:v>
              </c:pt>
              <c:pt idx="30">
                <c:v>Real Estate Taxes</c:v>
              </c:pt>
              <c:pt idx="31">
                <c:v>Land Rent</c:v>
              </c:pt>
              <c:pt idx="32">
                <c:v>Depreciation (Economic )</c:v>
              </c:pt>
              <c:pt idx="33">
                <c:v>Other (fixed)</c:v>
              </c:pt>
              <c:pt idx="34">
                <c:v>Other (variable &amp; fixed)</c:v>
              </c:pt>
              <c:pt idx="35">
                <c:v>Income Taxes</c:v>
              </c:pt>
              <c:pt idx="36">
                <c:v>Owner Withdrawal</c:v>
              </c:pt>
              <c:pt idx="37">
                <c:v>Interest (Oper &amp; Term)</c:v>
              </c:pt>
              <c:pt idx="38">
                <c:v>Interest (Term)</c:v>
              </c:pt>
              <c:pt idx="39">
                <c:v>Principal Payment</c:v>
              </c:pt>
            </c:strLit>
          </c:cat>
          <c:val>
            <c:numLit>
              <c:formatCode>General</c:formatCode>
              <c:ptCount val="4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05-4EC5-9C77-DB3FC1C14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96257040"/>
        <c:axId val="1696913568"/>
      </c:barChart>
      <c:catAx>
        <c:axId val="1696257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913568"/>
        <c:crosses val="autoZero"/>
        <c:auto val="1"/>
        <c:lblAlgn val="ctr"/>
        <c:lblOffset val="100"/>
        <c:noMultiLvlLbl val="0"/>
      </c:catAx>
      <c:valAx>
        <c:axId val="16969135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257040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Costs (Crop 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Wheat</c:v>
          </c:tx>
          <c:spPr>
            <a:solidFill>
              <a:srgbClr val="0DB14B"/>
            </a:solidFill>
            <a:ln>
              <a:noFill/>
            </a:ln>
            <a:effectLst/>
          </c:spPr>
          <c:invertIfNegative val="0"/>
          <c:cat>
            <c:strLit>
              <c:ptCount val="40"/>
              <c:pt idx="0">
                <c:v>Seed</c:v>
              </c:pt>
              <c:pt idx="1">
                <c:v>Fertilizer</c:v>
              </c:pt>
              <c:pt idx="2">
                <c:v>Crop Chemicals</c:v>
              </c:pt>
              <c:pt idx="3">
                <c:v>Herbicides</c:v>
              </c:pt>
              <c:pt idx="4">
                <c:v>Fungicides</c:v>
              </c:pt>
              <c:pt idx="5">
                <c:v>Insecticides</c:v>
              </c:pt>
              <c:pt idx="6">
                <c:v>Crop Insurance</c:v>
              </c:pt>
              <c:pt idx="7">
                <c:v>Crop Miscellaneous</c:v>
              </c:pt>
              <c:pt idx="8">
                <c:v>Supplies</c:v>
              </c:pt>
              <c:pt idx="9">
                <c:v>Gas/Fuel</c:v>
              </c:pt>
              <c:pt idx="10">
                <c:v>Equipment Fuel</c:v>
              </c:pt>
              <c:pt idx="11">
                <c:v>Drying Propane</c:v>
              </c:pt>
              <c:pt idx="12">
                <c:v>Repairs &amp; Maintenance</c:v>
              </c:pt>
              <c:pt idx="13">
                <c:v>Repair, Machinery</c:v>
              </c:pt>
              <c:pt idx="14">
                <c:v>Repair, Buildings</c:v>
              </c:pt>
              <c:pt idx="15">
                <c:v>Custom Hire</c:v>
              </c:pt>
              <c:pt idx="16">
                <c:v>Driver &amp; Equipment Hire</c:v>
              </c:pt>
              <c:pt idx="17">
                <c:v>Equipment Hire</c:v>
              </c:pt>
              <c:pt idx="18">
                <c:v>Custom Application</c:v>
              </c:pt>
              <c:pt idx="19">
                <c:v>Freight &amp; Trucking</c:v>
              </c:pt>
              <c:pt idx="20">
                <c:v>Storage</c:v>
              </c:pt>
              <c:pt idx="21">
                <c:v>Utilities</c:v>
              </c:pt>
              <c:pt idx="22">
                <c:v>Irrigation</c:v>
              </c:pt>
              <c:pt idx="23">
                <c:v>Repairs</c:v>
              </c:pt>
              <c:pt idx="24">
                <c:v>Fuel/Electricity</c:v>
              </c:pt>
              <c:pt idx="25">
                <c:v>Marketing</c:v>
              </c:pt>
              <c:pt idx="26">
                <c:v>Hired Labor</c:v>
              </c:pt>
              <c:pt idx="27">
                <c:v>Interest (Operating)</c:v>
              </c:pt>
              <c:pt idx="28">
                <c:v>Other (variable)</c:v>
              </c:pt>
              <c:pt idx="29">
                <c:v>Farm Insurance</c:v>
              </c:pt>
              <c:pt idx="30">
                <c:v>Real Estate Taxes</c:v>
              </c:pt>
              <c:pt idx="31">
                <c:v>Land Rent</c:v>
              </c:pt>
              <c:pt idx="32">
                <c:v>Depreciation (Economic )</c:v>
              </c:pt>
              <c:pt idx="33">
                <c:v>Other (fixed)</c:v>
              </c:pt>
              <c:pt idx="34">
                <c:v>Other (variable &amp; fixed)</c:v>
              </c:pt>
              <c:pt idx="35">
                <c:v>Income Taxes</c:v>
              </c:pt>
              <c:pt idx="36">
                <c:v>Owner Withdrawal</c:v>
              </c:pt>
              <c:pt idx="37">
                <c:v>Interest (Oper &amp; Term)</c:v>
              </c:pt>
              <c:pt idx="38">
                <c:v>Interest (Term)</c:v>
              </c:pt>
              <c:pt idx="39">
                <c:v>Principal Payment</c:v>
              </c:pt>
            </c:strLit>
          </c:cat>
          <c:val>
            <c:numLit>
              <c:formatCode>General</c:formatCode>
              <c:ptCount val="4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C3-42AD-8BC1-B3976AC3F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7970032"/>
        <c:axId val="1646701184"/>
      </c:barChart>
      <c:catAx>
        <c:axId val="2057970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701184"/>
        <c:crosses val="autoZero"/>
        <c:auto val="1"/>
        <c:lblAlgn val="ctr"/>
        <c:lblOffset val="100"/>
        <c:noMultiLvlLbl val="0"/>
      </c:catAx>
      <c:valAx>
        <c:axId val="1646701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9700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Comparison of Variable and Fixed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Data'!$I$2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F2C4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'Crop Budget (Main)'!$N$5:$P$5</c:f>
              <c:strCache>
                <c:ptCount val="1"/>
                <c:pt idx="0">
                  <c:v>Enter Crop Name</c:v>
                </c:pt>
              </c:strCache>
            </c:strRef>
          </c:cat>
          <c:val>
            <c:numRef>
              <c:f>'Chart Data'!$J$2:$L$2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1-42DF-926F-98ACEADDDFC0}"/>
            </c:ext>
          </c:extLst>
        </c:ser>
        <c:ser>
          <c:idx val="1"/>
          <c:order val="1"/>
          <c:tx>
            <c:strRef>
              <c:f>'Chart Data'!$I$3</c:f>
              <c:strCache>
                <c:ptCount val="1"/>
                <c:pt idx="0">
                  <c:v>Fixed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'Crop Budget (Main)'!$N$5:$P$5</c:f>
              <c:strCache>
                <c:ptCount val="1"/>
                <c:pt idx="0">
                  <c:v>Enter Crop Name</c:v>
                </c:pt>
              </c:strCache>
            </c:strRef>
          </c:cat>
          <c:val>
            <c:numRef>
              <c:f>'Chart Data'!$J$3:$L$3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1-42DF-926F-98ACEADDD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257743"/>
        <c:axId val="94282414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'Chart Data'!$I$8</c15:sqref>
                        </c15:formulaRef>
                      </c:ext>
                    </c:extLst>
                    <c:strCache>
                      <c:ptCount val="1"/>
                      <c:pt idx="0">
                        <c:v>Variable &amp; Fixed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'Crop Budget (Main)'!$N$5:$P$5</c15:sqref>
                        </c15:formulaRef>
                      </c:ext>
                    </c:extLst>
                    <c:strCache>
                      <c:ptCount val="1"/>
                      <c:pt idx="0">
                        <c:v>Enter Crop Name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'Chart Data'!$J$8:$L$8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AD1-42DF-926F-98ACEADDDFC0}"/>
                  </c:ext>
                </c:extLst>
              </c15:ser>
            </c15:filteredBarSeries>
          </c:ext>
        </c:extLst>
      </c:barChart>
      <c:catAx>
        <c:axId val="13025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24143"/>
        <c:crosses val="autoZero"/>
        <c:auto val="1"/>
        <c:lblAlgn val="ctr"/>
        <c:lblOffset val="100"/>
        <c:noMultiLvlLbl val="0"/>
      </c:catAx>
      <c:valAx>
        <c:axId val="9428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5774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Data'!$B$1</c:f>
              <c:strCache>
                <c:ptCount val="1"/>
                <c:pt idx="0">
                  <c:v>Corn Silage</c:v>
                </c:pt>
              </c:strCache>
            </c:strRef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Data'!$B$2:$B$44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F-434E-8B9A-08ECECA7F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Data'!$C$1</c:f>
              <c:strCache>
                <c:ptCount val="1"/>
                <c:pt idx="0">
                  <c:v>Alfalfa Hay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Data'!$C$2:$C$44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4-4BCD-A62E-F414FC1F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166687</xdr:rowOff>
    </xdr:from>
    <xdr:to>
      <xdr:col>2</xdr:col>
      <xdr:colOff>1607789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4768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40481</xdr:colOff>
      <xdr:row>1</xdr:row>
      <xdr:rowOff>157162</xdr:rowOff>
    </xdr:from>
    <xdr:to>
      <xdr:col>17</xdr:col>
      <xdr:colOff>1541114</xdr:colOff>
      <xdr:row>4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2EC2E3-ADB7-4529-A1DC-F01F637C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581" y="538162"/>
          <a:ext cx="27198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36678</xdr:colOff>
      <xdr:row>0</xdr:row>
      <xdr:rowOff>57150</xdr:rowOff>
    </xdr:from>
    <xdr:to>
      <xdr:col>0</xdr:col>
      <xdr:colOff>2663165</xdr:colOff>
      <xdr:row>2</xdr:row>
      <xdr:rowOff>159544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5687DA-33A7-42E7-8407-CE8C1939E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8" y="57150"/>
          <a:ext cx="2626487" cy="50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226217</xdr:colOff>
      <xdr:row>167</xdr:row>
      <xdr:rowOff>154782</xdr:rowOff>
    </xdr:from>
    <xdr:to>
      <xdr:col>15</xdr:col>
      <xdr:colOff>1038223</xdr:colOff>
      <xdr:row>189</xdr:row>
      <xdr:rowOff>109824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5B8E7D4-094C-4E13-8DAD-7AB0A91E6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132</xdr:row>
      <xdr:rowOff>23815</xdr:rowOff>
    </xdr:from>
    <xdr:to>
      <xdr:col>5</xdr:col>
      <xdr:colOff>730377</xdr:colOff>
      <xdr:row>160</xdr:row>
      <xdr:rowOff>122875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B8B134-45DA-46D2-B7EA-058FE4260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223837</xdr:colOff>
      <xdr:row>132</xdr:row>
      <xdr:rowOff>35718</xdr:rowOff>
    </xdr:from>
    <xdr:to>
      <xdr:col>15</xdr:col>
      <xdr:colOff>1108995</xdr:colOff>
      <xdr:row>160</xdr:row>
      <xdr:rowOff>134778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6A4D22-E3BA-4B8E-8DE7-1610168E2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161</xdr:row>
      <xdr:rowOff>16667</xdr:rowOff>
    </xdr:from>
    <xdr:to>
      <xdr:col>5</xdr:col>
      <xdr:colOff>730377</xdr:colOff>
      <xdr:row>189</xdr:row>
      <xdr:rowOff>115727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DA60CF-AE9A-4344-929E-1B0035A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18</xdr:col>
      <xdr:colOff>209550</xdr:colOff>
      <xdr:row>8</xdr:row>
      <xdr:rowOff>100012</xdr:rowOff>
    </xdr:from>
    <xdr:ext cx="2681733" cy="519113"/>
    <xdr:pic>
      <xdr:nvPicPr>
        <xdr:cNvPr id="9" name="Picture 8">
          <a:extLst>
            <a:ext uri="{FF2B5EF4-FFF2-40B4-BE49-F238E27FC236}">
              <a16:creationId xmlns:a16="http://schemas.microsoft.com/office/drawing/2014/main" id="{83A3BBA4-CB3E-4824-B4D7-A0CF37BA1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2950" y="16716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448301" y="29065538"/>
    <xdr:ext cx="5839884" cy="66675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E3E62F-04C9-4D72-A4CE-3D15CDAC5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0636" y="35851048"/>
    <xdr:ext cx="5210971" cy="643519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2A60DF-5BAB-4A8D-B633-F1A06AB90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111917</xdr:colOff>
      <xdr:row>37</xdr:row>
      <xdr:rowOff>126207</xdr:rowOff>
    </xdr:from>
    <xdr:to>
      <xdr:col>20</xdr:col>
      <xdr:colOff>495298</xdr:colOff>
      <xdr:row>59</xdr:row>
      <xdr:rowOff>81249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8CA040-E74B-413B-A83F-C8B65919C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47626</xdr:colOff>
      <xdr:row>2</xdr:row>
      <xdr:rowOff>23815</xdr:rowOff>
    </xdr:from>
    <xdr:to>
      <xdr:col>10</xdr:col>
      <xdr:colOff>276226</xdr:colOff>
      <xdr:row>30</xdr:row>
      <xdr:rowOff>122875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204616-95A7-47EB-A4AB-5CFF4A60C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176212</xdr:colOff>
      <xdr:row>2</xdr:row>
      <xdr:rowOff>7143</xdr:rowOff>
    </xdr:from>
    <xdr:to>
      <xdr:col>20</xdr:col>
      <xdr:colOff>566070</xdr:colOff>
      <xdr:row>30</xdr:row>
      <xdr:rowOff>106203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46C5A18-63DF-465B-90DD-0FA27B8A9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31</xdr:row>
      <xdr:rowOff>16667</xdr:rowOff>
    </xdr:from>
    <xdr:to>
      <xdr:col>10</xdr:col>
      <xdr:colOff>285750</xdr:colOff>
      <xdr:row>59</xdr:row>
      <xdr:rowOff>115727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AD26F7-6E54-4880-8B1F-7D8AE9952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742950</xdr:colOff>
      <xdr:row>25</xdr:row>
      <xdr:rowOff>0</xdr:rowOff>
    </xdr:from>
    <xdr:to>
      <xdr:col>5</xdr:col>
      <xdr:colOff>1000888</xdr:colOff>
      <xdr:row>55</xdr:row>
      <xdr:rowOff>19387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3F980-20E1-4E3F-9BD6-18A4F54F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" y="4876800"/>
          <a:ext cx="5468113" cy="57343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msuent.com/assets/pdf/1582CornInsects10.pdf" TargetMode="External"/><Relationship Id="rId1" Type="http://schemas.openxmlformats.org/officeDocument/2006/relationships/hyperlink" Target="http://msuent.com/assets/pdf/1582SoybeanInsects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21"/>
  <sheetViews>
    <sheetView tabSelected="1" zoomScale="80" zoomScaleNormal="80" workbookViewId="0">
      <selection activeCell="M29" sqref="M29"/>
    </sheetView>
  </sheetViews>
  <sheetFormatPr defaultColWidth="8.85546875" defaultRowHeight="15"/>
  <cols>
    <col min="3" max="3" width="33.42578125" bestFit="1" customWidth="1"/>
    <col min="4" max="4" width="1.5703125" customWidth="1"/>
    <col min="18" max="18" width="23.7109375" customWidth="1"/>
  </cols>
  <sheetData>
    <row r="1" spans="1:18" ht="15" customHeight="1">
      <c r="A1" s="492" t="s">
        <v>526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4"/>
    </row>
    <row r="2" spans="1:18" ht="15" customHeight="1">
      <c r="A2" s="495"/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7"/>
    </row>
    <row r="3" spans="1:18" ht="15.75">
      <c r="A3" s="489" t="s">
        <v>271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1"/>
    </row>
    <row r="4" spans="1:18" ht="15.75">
      <c r="A4" s="489" t="s">
        <v>270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1"/>
    </row>
    <row r="5" spans="1:18" ht="15.75">
      <c r="A5" s="489" t="s">
        <v>477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1"/>
    </row>
    <row r="6" spans="1:18" ht="15.75">
      <c r="A6" s="489" t="s">
        <v>402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1"/>
    </row>
    <row r="7" spans="1:18" ht="16.5" customHeight="1" thickBot="1">
      <c r="A7" s="383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5"/>
    </row>
    <row r="8" spans="1:18" ht="16.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26"/>
      <c r="N8" s="26"/>
      <c r="O8" s="26"/>
      <c r="P8" s="26"/>
      <c r="Q8" s="26"/>
      <c r="R8" s="27"/>
    </row>
    <row r="9" spans="1:18" ht="20.100000000000001" customHeight="1">
      <c r="A9" s="28" t="s">
        <v>177</v>
      </c>
      <c r="B9" s="29" t="s">
        <v>403</v>
      </c>
      <c r="C9" s="29"/>
      <c r="D9" s="29"/>
      <c r="E9" s="29"/>
      <c r="F9" s="29"/>
      <c r="G9" s="29"/>
      <c r="H9" s="29"/>
      <c r="I9" s="29"/>
      <c r="J9" s="29"/>
      <c r="K9" s="29"/>
      <c r="L9" s="30"/>
      <c r="M9" s="30"/>
      <c r="N9" s="30"/>
      <c r="O9" s="30"/>
      <c r="P9" s="30"/>
      <c r="Q9" s="30"/>
      <c r="R9" s="31"/>
    </row>
    <row r="10" spans="1:18" ht="20.100000000000001" customHeight="1" thickBo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26"/>
      <c r="R10" s="27"/>
    </row>
    <row r="11" spans="1:18" ht="20.100000000000001" customHeight="1">
      <c r="A11" s="24"/>
      <c r="B11" s="25"/>
      <c r="C11" s="22" t="s">
        <v>404</v>
      </c>
      <c r="D11" s="23" t="s">
        <v>397</v>
      </c>
      <c r="E11" s="498" t="s">
        <v>328</v>
      </c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9"/>
    </row>
    <row r="12" spans="1:18" ht="20.100000000000001" customHeight="1" thickBot="1">
      <c r="A12" s="24"/>
      <c r="B12" s="25"/>
      <c r="C12" s="20"/>
      <c r="D12" s="21"/>
      <c r="E12" s="487" t="s">
        <v>327</v>
      </c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8"/>
    </row>
    <row r="13" spans="1:18" ht="20.100000000000001" customHeight="1" thickBot="1">
      <c r="A13" s="24"/>
      <c r="B13" s="25"/>
      <c r="C13" s="371" t="s">
        <v>528</v>
      </c>
      <c r="D13" s="378" t="s">
        <v>397</v>
      </c>
      <c r="E13" s="379" t="s">
        <v>529</v>
      </c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72"/>
    </row>
    <row r="14" spans="1:18" ht="20.100000000000001" customHeight="1" thickBot="1">
      <c r="A14" s="24"/>
      <c r="B14" s="25"/>
      <c r="C14" s="373" t="s">
        <v>570</v>
      </c>
      <c r="D14" s="374" t="s">
        <v>397</v>
      </c>
      <c r="E14" s="375" t="s">
        <v>571</v>
      </c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7"/>
    </row>
    <row r="15" spans="1:18" ht="20.100000000000001" customHeight="1">
      <c r="A15" s="24"/>
      <c r="B15" s="25"/>
      <c r="C15" s="22" t="s">
        <v>471</v>
      </c>
      <c r="D15" s="23" t="s">
        <v>397</v>
      </c>
      <c r="E15" s="483" t="s">
        <v>527</v>
      </c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4"/>
    </row>
    <row r="16" spans="1:18" ht="20.100000000000001" customHeight="1" thickBot="1">
      <c r="A16" s="381"/>
      <c r="B16" s="25"/>
      <c r="C16" s="71"/>
      <c r="D16" s="72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6"/>
    </row>
    <row r="17" spans="1:18" ht="20.100000000000001" customHeight="1">
      <c r="A17" s="24"/>
      <c r="B17" s="25"/>
      <c r="C17" s="32"/>
      <c r="D17" s="3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4"/>
    </row>
    <row r="18" spans="1:18" ht="20.100000000000001" customHeight="1">
      <c r="A18" s="28" t="s">
        <v>178</v>
      </c>
      <c r="B18" s="29" t="s">
        <v>269</v>
      </c>
      <c r="C18" s="25"/>
      <c r="D18" s="25"/>
      <c r="E18" s="25"/>
      <c r="F18" s="25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7"/>
    </row>
    <row r="19" spans="1:18">
      <c r="A19" s="382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</row>
    <row r="20" spans="1:18" ht="15.75" thickBot="1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1:18" ht="15.75">
      <c r="A21" s="12"/>
      <c r="B21" s="2"/>
    </row>
  </sheetData>
  <sheetProtection algorithmName="SHA-512" hashValue="C7JRGl8Jh3zhIkYxWjqzcRg24stQr8eCDy1jFiRLhKjo4t0qwfCJC5e5hWA2JVjdioNQ+D3fM7bmgevxZkEKvw==" saltValue="ddrW45GO5IinAk6A6o11dw==" spinCount="100000" sheet="1" objects="1" scenarios="1"/>
  <mergeCells count="8">
    <mergeCell ref="E15:R16"/>
    <mergeCell ref="E12:R12"/>
    <mergeCell ref="A4:R4"/>
    <mergeCell ref="A1:R2"/>
    <mergeCell ref="E11:R11"/>
    <mergeCell ref="A6:R6"/>
    <mergeCell ref="A5:R5"/>
    <mergeCell ref="A3:R3"/>
  </mergeCells>
  <pageMargins left="0.7" right="0.7" top="0.75" bottom="0.75" header="0.3" footer="0.3"/>
  <pageSetup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93"/>
  <sheetViews>
    <sheetView zoomScale="80" zoomScaleNormal="80" workbookViewId="0">
      <pane xSplit="1" topLeftCell="B1" activePane="topRight" state="frozen"/>
      <selection pane="topRight" activeCell="AF34" sqref="AF34"/>
    </sheetView>
  </sheetViews>
  <sheetFormatPr defaultColWidth="9.140625" defaultRowHeight="18.75"/>
  <cols>
    <col min="1" max="1" width="41.42578125" style="7" customWidth="1"/>
    <col min="2" max="2" width="2.42578125" style="7" customWidth="1"/>
    <col min="3" max="3" width="14.140625" style="7" bestFit="1" customWidth="1"/>
    <col min="4" max="4" width="13.85546875" style="7" customWidth="1"/>
    <col min="5" max="5" width="6.7109375" style="7" customWidth="1"/>
    <col min="6" max="6" width="16" style="7" customWidth="1"/>
    <col min="7" max="7" width="2.42578125" style="7" customWidth="1"/>
    <col min="8" max="8" width="14.7109375" style="7" bestFit="1" customWidth="1"/>
    <col min="9" max="9" width="13.85546875" style="7" customWidth="1"/>
    <col min="10" max="10" width="6.7109375" style="7" customWidth="1"/>
    <col min="11" max="11" width="16" style="7" customWidth="1"/>
    <col min="12" max="12" width="2.42578125" style="7" customWidth="1"/>
    <col min="13" max="13" width="14.140625" style="7" bestFit="1" customWidth="1"/>
    <col min="14" max="14" width="13.85546875" style="7" customWidth="1"/>
    <col min="15" max="15" width="6.7109375" style="7" customWidth="1"/>
    <col min="16" max="16" width="16" style="7" customWidth="1"/>
    <col min="17" max="17" width="10.140625" style="6" customWidth="1"/>
    <col min="18" max="18" width="30" style="6" bestFit="1" customWidth="1"/>
    <col min="19" max="20" width="14.5703125" style="13" bestFit="1" customWidth="1"/>
    <col min="21" max="21" width="11.5703125" style="13" bestFit="1" customWidth="1"/>
    <col min="22" max="22" width="17.5703125" style="13" bestFit="1" customWidth="1"/>
    <col min="23" max="23" width="10.7109375" style="13" customWidth="1"/>
    <col min="24" max="24" width="12.7109375" style="6" hidden="1" customWidth="1"/>
    <col min="25" max="29" width="9.140625" style="7" hidden="1" customWidth="1"/>
    <col min="30" max="31" width="9.140625" style="7" customWidth="1"/>
    <col min="32" max="16384" width="9.140625" style="7"/>
  </cols>
  <sheetData>
    <row r="1" spans="1:24" ht="15.75" customHeight="1">
      <c r="A1" s="516" t="s">
        <v>515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8"/>
    </row>
    <row r="2" spans="1:24" ht="15.75" customHeight="1">
      <c r="A2" s="519"/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1"/>
    </row>
    <row r="3" spans="1:24" ht="15.75" customHeight="1" thickBot="1">
      <c r="A3" s="522"/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4"/>
    </row>
    <row r="4" spans="1:24" ht="19.5" thickBot="1">
      <c r="A4" s="9"/>
      <c r="B4" s="14"/>
      <c r="C4" s="14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</row>
    <row r="5" spans="1:24" ht="21.75" thickBot="1">
      <c r="A5" s="16"/>
      <c r="B5" s="282"/>
      <c r="C5" s="289" t="s">
        <v>485</v>
      </c>
      <c r="D5" s="525" t="s">
        <v>516</v>
      </c>
      <c r="E5" s="526"/>
      <c r="F5" s="527"/>
      <c r="G5" s="282"/>
      <c r="H5" s="289" t="s">
        <v>485</v>
      </c>
      <c r="I5" s="525" t="s">
        <v>516</v>
      </c>
      <c r="J5" s="526"/>
      <c r="K5" s="527"/>
      <c r="L5" s="282"/>
      <c r="M5" s="289" t="s">
        <v>485</v>
      </c>
      <c r="N5" s="525" t="s">
        <v>516</v>
      </c>
      <c r="O5" s="526"/>
      <c r="P5" s="527"/>
      <c r="X5" s="7"/>
    </row>
    <row r="6" spans="1:24" ht="19.5" hidden="1" thickBot="1">
      <c r="A6" s="265" t="s">
        <v>426</v>
      </c>
      <c r="B6" s="38"/>
      <c r="C6" s="38"/>
      <c r="D6" s="533" t="s">
        <v>422</v>
      </c>
      <c r="E6" s="534"/>
      <c r="F6" s="535"/>
      <c r="G6" s="38"/>
      <c r="H6" s="38"/>
      <c r="I6" s="533" t="s">
        <v>424</v>
      </c>
      <c r="J6" s="534"/>
      <c r="K6" s="535"/>
      <c r="L6" s="38"/>
      <c r="M6" s="38"/>
      <c r="N6" s="533" t="s">
        <v>423</v>
      </c>
      <c r="O6" s="534"/>
      <c r="P6" s="536"/>
      <c r="X6" s="7" t="s">
        <v>425</v>
      </c>
    </row>
    <row r="7" spans="1:24" ht="16.5" customHeight="1">
      <c r="A7" s="263" t="s">
        <v>67</v>
      </c>
      <c r="B7" s="283"/>
      <c r="C7" s="289" t="s">
        <v>486</v>
      </c>
      <c r="D7" s="75"/>
      <c r="E7" s="76"/>
      <c r="F7" s="77"/>
      <c r="G7" s="283"/>
      <c r="H7" s="289" t="s">
        <v>486</v>
      </c>
      <c r="I7" s="75"/>
      <c r="J7" s="76"/>
      <c r="K7" s="77"/>
      <c r="L7" s="283"/>
      <c r="M7" s="289" t="s">
        <v>486</v>
      </c>
      <c r="N7" s="75"/>
      <c r="O7" s="76"/>
      <c r="P7" s="77"/>
      <c r="R7" s="492" t="s">
        <v>515</v>
      </c>
      <c r="S7" s="493"/>
      <c r="T7" s="493"/>
      <c r="U7" s="493"/>
      <c r="V7" s="493"/>
      <c r="W7" s="493"/>
      <c r="X7" s="494"/>
    </row>
    <row r="8" spans="1:24" ht="16.5" customHeight="1">
      <c r="A8" s="78" t="s">
        <v>313</v>
      </c>
      <c r="B8" s="79"/>
      <c r="C8" s="418" t="s">
        <v>532</v>
      </c>
      <c r="D8" s="264" t="s">
        <v>68</v>
      </c>
      <c r="E8" s="80"/>
      <c r="F8" s="81"/>
      <c r="G8" s="82"/>
      <c r="H8" s="289" t="s">
        <v>530</v>
      </c>
      <c r="I8" s="264" t="s">
        <v>68</v>
      </c>
      <c r="J8" s="80"/>
      <c r="K8" s="81"/>
      <c r="L8" s="82"/>
      <c r="M8" s="289" t="s">
        <v>531</v>
      </c>
      <c r="N8" s="264" t="s">
        <v>68</v>
      </c>
      <c r="O8" s="80"/>
      <c r="P8" s="81"/>
      <c r="R8" s="495"/>
      <c r="S8" s="496"/>
      <c r="T8" s="496"/>
      <c r="U8" s="496"/>
      <c r="V8" s="496"/>
      <c r="W8" s="496"/>
      <c r="X8" s="497"/>
    </row>
    <row r="9" spans="1:24" ht="16.5" customHeight="1">
      <c r="A9" s="83" t="s">
        <v>279</v>
      </c>
      <c r="B9" s="84"/>
      <c r="C9" s="409">
        <v>0.21</v>
      </c>
      <c r="D9" s="98">
        <v>0</v>
      </c>
      <c r="E9" s="85"/>
      <c r="F9" s="86"/>
      <c r="G9" s="87"/>
      <c r="H9" s="409">
        <v>112.85</v>
      </c>
      <c r="I9" s="98">
        <v>0</v>
      </c>
      <c r="J9" s="85"/>
      <c r="K9" s="86"/>
      <c r="L9" s="87"/>
      <c r="M9" s="409">
        <v>9.42</v>
      </c>
      <c r="N9" s="116">
        <v>0</v>
      </c>
      <c r="O9" s="85"/>
      <c r="P9" s="86"/>
      <c r="R9" s="386"/>
      <c r="S9" s="387"/>
      <c r="T9" s="387"/>
      <c r="U9" s="387"/>
      <c r="V9" s="387"/>
      <c r="W9" s="387"/>
      <c r="X9" s="388"/>
    </row>
    <row r="10" spans="1:24" ht="16.5" customHeight="1">
      <c r="A10" s="88" t="s">
        <v>517</v>
      </c>
      <c r="B10" s="84"/>
      <c r="C10" s="410">
        <v>3404.71</v>
      </c>
      <c r="D10" s="98">
        <v>0</v>
      </c>
      <c r="E10" s="89"/>
      <c r="F10" s="416" t="s">
        <v>525</v>
      </c>
      <c r="G10" s="89"/>
      <c r="H10" s="410">
        <v>8.74</v>
      </c>
      <c r="I10" s="98">
        <v>0</v>
      </c>
      <c r="J10" s="89"/>
      <c r="K10" s="416" t="s">
        <v>525</v>
      </c>
      <c r="L10" s="89"/>
      <c r="M10" s="410">
        <v>283.75</v>
      </c>
      <c r="N10" s="116">
        <v>0</v>
      </c>
      <c r="O10" s="89"/>
      <c r="P10" s="416" t="s">
        <v>525</v>
      </c>
      <c r="R10" s="389"/>
      <c r="S10" s="390"/>
      <c r="T10" s="390"/>
      <c r="U10" s="390"/>
      <c r="V10" s="390"/>
      <c r="W10" s="390"/>
      <c r="X10" s="391"/>
    </row>
    <row r="11" spans="1:24" ht="16.5" customHeight="1">
      <c r="A11" s="83" t="s">
        <v>61</v>
      </c>
      <c r="B11" s="84"/>
      <c r="C11" s="410">
        <v>62.82</v>
      </c>
      <c r="D11" s="98">
        <v>0</v>
      </c>
      <c r="E11" s="89"/>
      <c r="F11" s="92" t="s">
        <v>61</v>
      </c>
      <c r="G11" s="93"/>
      <c r="H11" s="410">
        <v>8.74</v>
      </c>
      <c r="I11" s="98">
        <v>0</v>
      </c>
      <c r="J11" s="89"/>
      <c r="K11" s="92" t="s">
        <v>61</v>
      </c>
      <c r="L11" s="93"/>
      <c r="M11" s="410">
        <v>143.6</v>
      </c>
      <c r="N11" s="116">
        <v>0</v>
      </c>
      <c r="O11" s="89"/>
      <c r="P11" s="92" t="s">
        <v>61</v>
      </c>
      <c r="R11" s="389"/>
      <c r="S11" s="390"/>
      <c r="T11" s="390"/>
      <c r="U11" s="390"/>
      <c r="V11" s="390"/>
      <c r="W11" s="390"/>
      <c r="X11" s="391"/>
    </row>
    <row r="12" spans="1:24" ht="16.5" customHeight="1">
      <c r="A12" s="83"/>
      <c r="B12" s="94"/>
      <c r="C12" s="411"/>
      <c r="D12" s="95"/>
      <c r="E12" s="89"/>
      <c r="F12" s="92"/>
      <c r="G12" s="93"/>
      <c r="H12" s="411"/>
      <c r="I12" s="95"/>
      <c r="J12" s="89"/>
      <c r="K12" s="92"/>
      <c r="L12" s="93"/>
      <c r="M12" s="411"/>
      <c r="N12" s="95"/>
      <c r="O12" s="89"/>
      <c r="P12" s="92"/>
      <c r="R12" s="389"/>
      <c r="S12" s="390"/>
      <c r="T12" s="390"/>
      <c r="U12" s="390"/>
      <c r="V12" s="390"/>
      <c r="W12" s="390"/>
      <c r="X12" s="391"/>
    </row>
    <row r="13" spans="1:24" ht="16.5" customHeight="1">
      <c r="A13" s="96" t="s">
        <v>421</v>
      </c>
      <c r="B13" s="97"/>
      <c r="C13" s="412">
        <v>0</v>
      </c>
      <c r="D13" s="98">
        <v>0</v>
      </c>
      <c r="E13" s="99"/>
      <c r="F13" s="100"/>
      <c r="G13" s="101"/>
      <c r="H13" s="412">
        <v>0</v>
      </c>
      <c r="I13" s="98">
        <v>0</v>
      </c>
      <c r="J13" s="99"/>
      <c r="K13" s="100"/>
      <c r="L13" s="101"/>
      <c r="M13" s="412">
        <v>0</v>
      </c>
      <c r="N13" s="98">
        <v>0</v>
      </c>
      <c r="O13" s="99"/>
      <c r="P13" s="100"/>
      <c r="R13" s="489" t="s">
        <v>494</v>
      </c>
      <c r="S13" s="490"/>
      <c r="T13" s="490"/>
      <c r="U13" s="490"/>
      <c r="V13" s="490"/>
      <c r="W13" s="490"/>
      <c r="X13" s="491"/>
    </row>
    <row r="14" spans="1:24" ht="16.5" customHeight="1">
      <c r="A14" s="96" t="s">
        <v>514</v>
      </c>
      <c r="B14" s="97"/>
      <c r="C14" s="412">
        <v>11.72</v>
      </c>
      <c r="D14" s="98">
        <v>0</v>
      </c>
      <c r="E14" s="99"/>
      <c r="F14" s="100"/>
      <c r="G14" s="101"/>
      <c r="H14" s="412">
        <v>2.99</v>
      </c>
      <c r="I14" s="98">
        <v>0</v>
      </c>
      <c r="J14" s="99"/>
      <c r="K14" s="100"/>
      <c r="L14" s="101"/>
      <c r="M14" s="412">
        <v>0</v>
      </c>
      <c r="N14" s="98">
        <v>0</v>
      </c>
      <c r="O14" s="99"/>
      <c r="P14" s="100"/>
      <c r="R14" s="489" t="s">
        <v>495</v>
      </c>
      <c r="S14" s="490"/>
      <c r="T14" s="490"/>
      <c r="U14" s="490"/>
      <c r="V14" s="490"/>
      <c r="W14" s="490"/>
      <c r="X14" s="491"/>
    </row>
    <row r="15" spans="1:24" ht="16.5" customHeight="1">
      <c r="A15" s="83"/>
      <c r="B15" s="94"/>
      <c r="C15" s="413"/>
      <c r="D15" s="102"/>
      <c r="E15" s="89"/>
      <c r="F15" s="92"/>
      <c r="G15" s="93"/>
      <c r="H15" s="413"/>
      <c r="I15" s="102"/>
      <c r="J15" s="89"/>
      <c r="K15" s="92"/>
      <c r="L15" s="93"/>
      <c r="M15" s="413"/>
      <c r="N15" s="102"/>
      <c r="O15" s="89"/>
      <c r="P15" s="92"/>
      <c r="R15" s="489" t="s">
        <v>402</v>
      </c>
      <c r="S15" s="490"/>
      <c r="T15" s="490"/>
      <c r="U15" s="490"/>
      <c r="V15" s="490"/>
      <c r="W15" s="490"/>
      <c r="X15" s="491"/>
    </row>
    <row r="16" spans="1:24" ht="16.5" customHeight="1" thickBot="1">
      <c r="A16" s="531" t="s">
        <v>314</v>
      </c>
      <c r="B16" s="537"/>
      <c r="C16" s="290" t="s">
        <v>37</v>
      </c>
      <c r="D16" s="103" t="s">
        <v>37</v>
      </c>
      <c r="E16" s="103"/>
      <c r="F16" s="104" t="s">
        <v>312</v>
      </c>
      <c r="G16" s="105"/>
      <c r="H16" s="290" t="s">
        <v>37</v>
      </c>
      <c r="I16" s="103" t="s">
        <v>37</v>
      </c>
      <c r="J16" s="103"/>
      <c r="K16" s="104" t="s">
        <v>312</v>
      </c>
      <c r="L16" s="105"/>
      <c r="M16" s="290" t="s">
        <v>37</v>
      </c>
      <c r="N16" s="103" t="s">
        <v>37</v>
      </c>
      <c r="O16" s="103"/>
      <c r="P16" s="104" t="s">
        <v>312</v>
      </c>
      <c r="R16" s="392"/>
      <c r="S16" s="393"/>
      <c r="T16" s="393"/>
      <c r="U16" s="393"/>
      <c r="V16" s="393"/>
      <c r="W16" s="393"/>
      <c r="X16" s="394"/>
    </row>
    <row r="17" spans="1:31" ht="16.5" customHeight="1" thickBot="1">
      <c r="A17" s="532"/>
      <c r="B17" s="537"/>
      <c r="C17" s="285">
        <f>(C9*C10)+C13+C14</f>
        <v>726.70910000000003</v>
      </c>
      <c r="D17" s="106">
        <f>(D9*D10)+D13+D14</f>
        <v>0</v>
      </c>
      <c r="E17" s="106"/>
      <c r="F17" s="107">
        <f>D17*$D$11</f>
        <v>0</v>
      </c>
      <c r="G17" s="108"/>
      <c r="H17" s="285">
        <f>(H9*H10)+H13</f>
        <v>986.30899999999997</v>
      </c>
      <c r="I17" s="106">
        <f>(I9*I10)+I13+I14</f>
        <v>0</v>
      </c>
      <c r="J17" s="106"/>
      <c r="K17" s="107">
        <f>I17*$I$11</f>
        <v>0</v>
      </c>
      <c r="L17" s="108"/>
      <c r="M17" s="285">
        <f>(M9*M10)+M13</f>
        <v>2672.9250000000002</v>
      </c>
      <c r="N17" s="106">
        <f>(N9*N10)+N13+N14</f>
        <v>0</v>
      </c>
      <c r="O17" s="106"/>
      <c r="P17" s="107">
        <f>N17*$I$11</f>
        <v>0</v>
      </c>
      <c r="R17" s="7"/>
      <c r="S17" s="7"/>
      <c r="T17" s="7"/>
      <c r="U17" s="7"/>
      <c r="V17" s="7"/>
      <c r="W17" s="7"/>
      <c r="X17" s="7"/>
    </row>
    <row r="18" spans="1:31" ht="16.5" customHeight="1" thickTop="1">
      <c r="A18" s="83"/>
      <c r="B18" s="84"/>
      <c r="C18" s="286"/>
      <c r="D18" s="109"/>
      <c r="E18" s="93"/>
      <c r="F18" s="90"/>
      <c r="G18" s="89"/>
      <c r="H18" s="286"/>
      <c r="I18" s="109"/>
      <c r="J18" s="93"/>
      <c r="K18" s="90"/>
      <c r="L18" s="89"/>
      <c r="M18" s="286"/>
      <c r="N18" s="109"/>
      <c r="O18" s="93"/>
      <c r="P18" s="110"/>
    </row>
    <row r="19" spans="1:31" ht="16.5" customHeight="1">
      <c r="A19" s="395" t="s">
        <v>496</v>
      </c>
      <c r="B19" s="17"/>
      <c r="C19" s="286"/>
      <c r="D19" s="271" t="s">
        <v>68</v>
      </c>
      <c r="E19" s="87"/>
      <c r="F19" s="86"/>
      <c r="G19" s="87"/>
      <c r="H19" s="286"/>
      <c r="I19" s="271" t="s">
        <v>68</v>
      </c>
      <c r="J19" s="87"/>
      <c r="K19" s="86"/>
      <c r="L19" s="87"/>
      <c r="M19" s="286"/>
      <c r="N19" s="271" t="s">
        <v>68</v>
      </c>
      <c r="O19" s="111"/>
      <c r="P19" s="110"/>
    </row>
    <row r="20" spans="1:31" ht="16.5" customHeight="1">
      <c r="A20" s="396" t="s">
        <v>497</v>
      </c>
      <c r="B20" s="17"/>
      <c r="C20" s="286"/>
      <c r="D20" s="112" t="s">
        <v>37</v>
      </c>
      <c r="E20" s="113"/>
      <c r="F20" s="114" t="s">
        <v>312</v>
      </c>
      <c r="G20" s="105"/>
      <c r="H20" s="286"/>
      <c r="I20" s="112" t="s">
        <v>37</v>
      </c>
      <c r="J20" s="113"/>
      <c r="K20" s="114" t="s">
        <v>312</v>
      </c>
      <c r="L20" s="105"/>
      <c r="M20" s="286"/>
      <c r="N20" s="112" t="s">
        <v>37</v>
      </c>
      <c r="O20" s="113"/>
      <c r="P20" s="115" t="s">
        <v>312</v>
      </c>
      <c r="R20" s="528" t="s">
        <v>321</v>
      </c>
      <c r="S20" s="529"/>
      <c r="T20" s="529"/>
      <c r="U20" s="529"/>
      <c r="V20" s="529"/>
      <c r="W20" s="530"/>
    </row>
    <row r="21" spans="1:31" ht="16.5" customHeight="1">
      <c r="A21" s="397" t="s">
        <v>38</v>
      </c>
      <c r="B21" s="84"/>
      <c r="C21" s="414">
        <v>4.16</v>
      </c>
      <c r="D21" s="116">
        <v>0</v>
      </c>
      <c r="E21" s="117">
        <f t="shared" ref="E21:E54" si="0">D21</f>
        <v>0</v>
      </c>
      <c r="F21" s="118">
        <f>D21*$D$11</f>
        <v>0</v>
      </c>
      <c r="G21" s="89"/>
      <c r="H21" s="414">
        <v>1.2</v>
      </c>
      <c r="I21" s="98">
        <v>0</v>
      </c>
      <c r="J21" s="117">
        <f t="shared" ref="J21:J54" si="1">I21</f>
        <v>0</v>
      </c>
      <c r="K21" s="118">
        <f>I21*$I$11</f>
        <v>0</v>
      </c>
      <c r="L21" s="89"/>
      <c r="M21" s="414">
        <v>288.52999999999997</v>
      </c>
      <c r="N21" s="116">
        <v>0</v>
      </c>
      <c r="O21" s="117">
        <f t="shared" ref="O21:O54" si="2">N21</f>
        <v>0</v>
      </c>
      <c r="P21" s="119">
        <f>N21*$N$11</f>
        <v>0</v>
      </c>
      <c r="Q21" s="15"/>
      <c r="R21" s="37"/>
      <c r="S21" s="209" t="s">
        <v>317</v>
      </c>
      <c r="T21" s="209" t="s">
        <v>318</v>
      </c>
      <c r="U21" s="209" t="s">
        <v>319</v>
      </c>
      <c r="V21" s="209" t="s">
        <v>320</v>
      </c>
      <c r="W21" s="209" t="s">
        <v>65</v>
      </c>
    </row>
    <row r="22" spans="1:31" ht="16.5" customHeight="1">
      <c r="A22" s="83" t="s">
        <v>39</v>
      </c>
      <c r="B22" s="94"/>
      <c r="C22" s="287"/>
      <c r="D22" s="120"/>
      <c r="E22" s="121">
        <f t="shared" si="0"/>
        <v>0</v>
      </c>
      <c r="F22" s="118"/>
      <c r="G22" s="89"/>
      <c r="H22" s="287"/>
      <c r="I22" s="120"/>
      <c r="J22" s="121">
        <f t="shared" si="1"/>
        <v>0</v>
      </c>
      <c r="K22" s="118"/>
      <c r="L22" s="89"/>
      <c r="M22" s="287"/>
      <c r="N22" s="120"/>
      <c r="O22" s="121">
        <f t="shared" si="2"/>
        <v>0</v>
      </c>
      <c r="P22" s="122"/>
      <c r="Q22" s="15"/>
      <c r="R22" s="37"/>
      <c r="S22" s="275" t="s">
        <v>68</v>
      </c>
      <c r="T22" s="275" t="s">
        <v>68</v>
      </c>
      <c r="U22" s="209"/>
      <c r="V22" s="275" t="s">
        <v>68</v>
      </c>
      <c r="W22" s="209"/>
      <c r="X22" s="2"/>
      <c r="Y22" s="37"/>
      <c r="Z22" s="37"/>
      <c r="AA22" s="37"/>
      <c r="AB22" s="37"/>
      <c r="AC22" s="37"/>
      <c r="AD22" s="37"/>
      <c r="AE22" s="37"/>
    </row>
    <row r="23" spans="1:31" ht="16.5" customHeight="1">
      <c r="A23" s="272" t="s">
        <v>0</v>
      </c>
      <c r="B23" s="84"/>
      <c r="C23" s="414">
        <v>51.52</v>
      </c>
      <c r="D23" s="116">
        <v>0</v>
      </c>
      <c r="E23" s="117">
        <f t="shared" si="0"/>
        <v>0</v>
      </c>
      <c r="F23" s="118">
        <f t="shared" ref="F23:F28" si="3">D23*$D$11</f>
        <v>0</v>
      </c>
      <c r="G23" s="89"/>
      <c r="H23" s="414">
        <v>195.07</v>
      </c>
      <c r="I23" s="116">
        <v>0</v>
      </c>
      <c r="J23" s="117">
        <f t="shared" si="1"/>
        <v>0</v>
      </c>
      <c r="K23" s="118">
        <f>I23*$I$11</f>
        <v>0</v>
      </c>
      <c r="L23" s="89"/>
      <c r="M23" s="414">
        <v>301.87</v>
      </c>
      <c r="N23" s="116">
        <v>0</v>
      </c>
      <c r="O23" s="117">
        <f t="shared" si="2"/>
        <v>0</v>
      </c>
      <c r="P23" s="122">
        <f>N23*$N$11</f>
        <v>0</v>
      </c>
      <c r="Q23" s="15"/>
      <c r="R23" s="37" t="s">
        <v>0</v>
      </c>
      <c r="S23" s="91">
        <v>0.46</v>
      </c>
      <c r="T23" s="267">
        <v>365</v>
      </c>
      <c r="U23" s="274">
        <f>T23/X23</f>
        <v>0.39673913043478259</v>
      </c>
      <c r="V23" s="91">
        <v>86</v>
      </c>
      <c r="W23" s="274">
        <f>V23*U23</f>
        <v>34.119565217391305</v>
      </c>
      <c r="X23" s="2">
        <f>2000*S23</f>
        <v>920</v>
      </c>
      <c r="Y23" s="37"/>
      <c r="Z23" s="37"/>
      <c r="AA23" s="37"/>
      <c r="AB23" s="37"/>
      <c r="AC23" s="37"/>
      <c r="AD23" s="37"/>
      <c r="AE23" s="37"/>
    </row>
    <row r="24" spans="1:31" ht="16.5" customHeight="1">
      <c r="A24" s="272" t="s">
        <v>1</v>
      </c>
      <c r="B24" s="84"/>
      <c r="C24" s="414">
        <v>0</v>
      </c>
      <c r="D24" s="98">
        <v>0</v>
      </c>
      <c r="E24" s="117">
        <f t="shared" si="0"/>
        <v>0</v>
      </c>
      <c r="F24" s="118">
        <f t="shared" si="3"/>
        <v>0</v>
      </c>
      <c r="G24" s="89"/>
      <c r="H24" s="414">
        <v>0</v>
      </c>
      <c r="I24" s="116">
        <v>0</v>
      </c>
      <c r="J24" s="117">
        <f t="shared" si="1"/>
        <v>0</v>
      </c>
      <c r="K24" s="118">
        <f t="shared" ref="K24:K27" si="4">I24*$I$11</f>
        <v>0</v>
      </c>
      <c r="L24" s="89"/>
      <c r="M24" s="414">
        <v>0</v>
      </c>
      <c r="N24" s="116">
        <v>0</v>
      </c>
      <c r="O24" s="117">
        <f t="shared" si="2"/>
        <v>0</v>
      </c>
      <c r="P24" s="122">
        <f t="shared" ref="P24:P27" si="5">N24*$N$11</f>
        <v>0</v>
      </c>
      <c r="Q24" s="15"/>
      <c r="R24" s="37" t="s">
        <v>409</v>
      </c>
      <c r="S24" s="91">
        <v>0.18</v>
      </c>
      <c r="T24" s="267">
        <v>144</v>
      </c>
      <c r="U24" s="274">
        <f>T24/Z39</f>
        <v>0.4</v>
      </c>
      <c r="V24" s="91">
        <v>40</v>
      </c>
      <c r="W24" s="276">
        <f>V24*U24</f>
        <v>16</v>
      </c>
      <c r="X24" s="2">
        <f>2000*S28</f>
        <v>920</v>
      </c>
      <c r="Y24" s="37"/>
      <c r="Z24" s="37"/>
      <c r="AA24" s="37"/>
      <c r="AB24" s="37"/>
      <c r="AC24" s="37"/>
      <c r="AD24" s="37"/>
      <c r="AE24" s="37"/>
    </row>
    <row r="25" spans="1:31" ht="16.5" customHeight="1">
      <c r="A25" s="272" t="s">
        <v>315</v>
      </c>
      <c r="B25" s="84"/>
      <c r="C25" s="414">
        <v>0</v>
      </c>
      <c r="D25" s="98">
        <v>0</v>
      </c>
      <c r="E25" s="117">
        <f t="shared" si="0"/>
        <v>0</v>
      </c>
      <c r="F25" s="118">
        <f t="shared" si="3"/>
        <v>0</v>
      </c>
      <c r="G25" s="89"/>
      <c r="H25" s="414">
        <v>0</v>
      </c>
      <c r="I25" s="98">
        <v>0</v>
      </c>
      <c r="J25" s="117">
        <f t="shared" si="1"/>
        <v>0</v>
      </c>
      <c r="K25" s="118">
        <f t="shared" si="4"/>
        <v>0</v>
      </c>
      <c r="L25" s="89"/>
      <c r="M25" s="414">
        <v>0</v>
      </c>
      <c r="N25" s="116">
        <v>0</v>
      </c>
      <c r="O25" s="117">
        <f t="shared" si="2"/>
        <v>0</v>
      </c>
      <c r="P25" s="122">
        <f t="shared" si="5"/>
        <v>0</v>
      </c>
      <c r="Q25" s="15"/>
      <c r="R25" s="37" t="s">
        <v>483</v>
      </c>
      <c r="S25" s="91">
        <v>0.21</v>
      </c>
      <c r="T25" s="267">
        <v>168</v>
      </c>
      <c r="U25" s="274">
        <f>T25/Z54</f>
        <v>0.4</v>
      </c>
      <c r="V25" s="91">
        <v>40</v>
      </c>
      <c r="W25" s="277">
        <f>V25*U25</f>
        <v>16</v>
      </c>
      <c r="Y25" s="37"/>
      <c r="Z25" s="37"/>
      <c r="AA25" s="37"/>
      <c r="AB25" s="37"/>
      <c r="AC25" s="37"/>
      <c r="AD25" s="37"/>
      <c r="AE25" s="37"/>
    </row>
    <row r="26" spans="1:31" ht="16.5" customHeight="1">
      <c r="A26" s="272" t="s">
        <v>478</v>
      </c>
      <c r="B26" s="273"/>
      <c r="C26" s="414">
        <v>0</v>
      </c>
      <c r="D26" s="98">
        <v>0</v>
      </c>
      <c r="E26" s="117">
        <f t="shared" si="0"/>
        <v>0</v>
      </c>
      <c r="F26" s="118">
        <f t="shared" si="3"/>
        <v>0</v>
      </c>
      <c r="G26" s="89"/>
      <c r="H26" s="414">
        <v>0</v>
      </c>
      <c r="I26" s="116">
        <v>0</v>
      </c>
      <c r="J26" s="117">
        <f t="shared" si="1"/>
        <v>0</v>
      </c>
      <c r="K26" s="118">
        <f>I26*$I$11</f>
        <v>0</v>
      </c>
      <c r="L26" s="89"/>
      <c r="M26" s="414">
        <v>0</v>
      </c>
      <c r="N26" s="116">
        <v>0</v>
      </c>
      <c r="O26" s="117">
        <f t="shared" si="2"/>
        <v>0</v>
      </c>
      <c r="P26" s="122">
        <f>N26*$N$11</f>
        <v>0</v>
      </c>
      <c r="Q26" s="15"/>
      <c r="R26" s="37"/>
      <c r="S26" s="209"/>
      <c r="T26" s="209"/>
      <c r="U26" s="209"/>
      <c r="V26" s="209"/>
      <c r="W26" s="274">
        <f>SUM(W23:W25)</f>
        <v>66.119565217391312</v>
      </c>
      <c r="X26" s="2"/>
      <c r="Y26" s="37"/>
      <c r="Z26" s="37"/>
      <c r="AA26" s="37"/>
      <c r="AB26" s="37"/>
      <c r="AC26" s="37"/>
      <c r="AD26" s="37"/>
      <c r="AE26" s="37"/>
    </row>
    <row r="27" spans="1:31" ht="16.5" customHeight="1">
      <c r="A27" s="272" t="s">
        <v>316</v>
      </c>
      <c r="B27" s="84"/>
      <c r="C27" s="414">
        <v>0</v>
      </c>
      <c r="D27" s="98">
        <v>0</v>
      </c>
      <c r="E27" s="117">
        <f t="shared" si="0"/>
        <v>0</v>
      </c>
      <c r="F27" s="118">
        <f t="shared" si="3"/>
        <v>0</v>
      </c>
      <c r="G27" s="89"/>
      <c r="H27" s="414">
        <v>0</v>
      </c>
      <c r="I27" s="116">
        <v>0</v>
      </c>
      <c r="J27" s="117">
        <f t="shared" si="1"/>
        <v>0</v>
      </c>
      <c r="K27" s="118">
        <f t="shared" si="4"/>
        <v>0</v>
      </c>
      <c r="L27" s="89"/>
      <c r="M27" s="414">
        <v>0</v>
      </c>
      <c r="N27" s="116">
        <v>0</v>
      </c>
      <c r="O27" s="117">
        <f t="shared" si="2"/>
        <v>0</v>
      </c>
      <c r="P27" s="122">
        <f t="shared" si="5"/>
        <v>0</v>
      </c>
      <c r="Q27" s="15"/>
      <c r="R27" s="37"/>
      <c r="S27" s="209"/>
      <c r="T27" s="209"/>
      <c r="U27" s="209"/>
      <c r="V27" s="209"/>
      <c r="W27" s="274"/>
      <c r="X27" s="2"/>
      <c r="Y27" s="37"/>
      <c r="Z27" s="37"/>
      <c r="AA27" s="37"/>
      <c r="AB27" s="37"/>
      <c r="AC27" s="37"/>
      <c r="AD27" s="37"/>
      <c r="AE27" s="37"/>
    </row>
    <row r="28" spans="1:31" ht="16.5" customHeight="1">
      <c r="A28" s="272" t="s">
        <v>498</v>
      </c>
      <c r="B28" s="84"/>
      <c r="C28" s="414">
        <v>0</v>
      </c>
      <c r="D28" s="98">
        <v>0</v>
      </c>
      <c r="E28" s="117">
        <f t="shared" ref="E28" si="6">D28</f>
        <v>0</v>
      </c>
      <c r="F28" s="118">
        <f t="shared" si="3"/>
        <v>0</v>
      </c>
      <c r="G28" s="89"/>
      <c r="H28" s="414">
        <v>0</v>
      </c>
      <c r="I28" s="116">
        <v>0</v>
      </c>
      <c r="J28" s="117">
        <f t="shared" ref="J28" si="7">I28</f>
        <v>0</v>
      </c>
      <c r="K28" s="118">
        <f t="shared" ref="K28" si="8">I28*$I$11</f>
        <v>0</v>
      </c>
      <c r="L28" s="89"/>
      <c r="M28" s="414">
        <v>0</v>
      </c>
      <c r="N28" s="116">
        <v>0</v>
      </c>
      <c r="O28" s="117">
        <f t="shared" ref="O28" si="9">N28</f>
        <v>0</v>
      </c>
      <c r="P28" s="122">
        <f t="shared" ref="P28" si="10">N28*$N$11</f>
        <v>0</v>
      </c>
      <c r="Q28" s="15"/>
      <c r="R28" s="37" t="s">
        <v>1</v>
      </c>
      <c r="S28" s="91">
        <v>0.46</v>
      </c>
      <c r="T28" s="267">
        <v>361</v>
      </c>
      <c r="U28" s="274">
        <f>T28/X24</f>
        <v>0.3923913043478261</v>
      </c>
      <c r="V28" s="91">
        <v>22</v>
      </c>
      <c r="W28" s="274">
        <f>V28*U28</f>
        <v>8.6326086956521735</v>
      </c>
      <c r="X28" s="2">
        <f>2000*S24</f>
        <v>360</v>
      </c>
      <c r="Y28" s="37"/>
      <c r="Z28" s="37"/>
      <c r="AA28" s="37"/>
      <c r="AB28" s="37"/>
      <c r="AC28" s="37"/>
      <c r="AD28" s="37"/>
      <c r="AE28" s="37"/>
    </row>
    <row r="29" spans="1:31" ht="16.5" customHeight="1">
      <c r="A29" s="83" t="s">
        <v>278</v>
      </c>
      <c r="B29" s="94"/>
      <c r="C29" s="287"/>
      <c r="D29" s="120"/>
      <c r="E29" s="121">
        <f>D29</f>
        <v>0</v>
      </c>
      <c r="F29" s="118"/>
      <c r="G29" s="89"/>
      <c r="H29" s="287"/>
      <c r="I29" s="120"/>
      <c r="J29" s="121">
        <f>I29</f>
        <v>0</v>
      </c>
      <c r="K29" s="118"/>
      <c r="L29" s="89"/>
      <c r="M29" s="287"/>
      <c r="N29" s="120"/>
      <c r="O29" s="121">
        <f>N29</f>
        <v>0</v>
      </c>
      <c r="P29" s="122"/>
      <c r="Q29" s="15"/>
      <c r="R29" s="37" t="s">
        <v>2</v>
      </c>
      <c r="S29" s="270">
        <v>0.6</v>
      </c>
      <c r="T29" s="267">
        <v>355</v>
      </c>
      <c r="U29" s="274">
        <f>T29/X29</f>
        <v>0.29583333333333334</v>
      </c>
      <c r="V29" s="91">
        <v>43</v>
      </c>
      <c r="W29" s="276">
        <f>V29*U29</f>
        <v>12.720833333333333</v>
      </c>
      <c r="X29" s="2">
        <f>2000*S29</f>
        <v>1200</v>
      </c>
      <c r="Y29" s="37"/>
      <c r="Z29" s="37"/>
      <c r="AA29" s="37"/>
      <c r="AB29" s="37"/>
      <c r="AC29" s="37"/>
      <c r="AD29" s="37"/>
      <c r="AE29" s="37"/>
    </row>
    <row r="30" spans="1:31" ht="16.5" customHeight="1">
      <c r="A30" s="272" t="s">
        <v>280</v>
      </c>
      <c r="B30" s="123"/>
      <c r="C30" s="414">
        <v>21.92</v>
      </c>
      <c r="D30" s="98">
        <v>0</v>
      </c>
      <c r="E30" s="117">
        <f t="shared" si="0"/>
        <v>0</v>
      </c>
      <c r="F30" s="118">
        <f t="shared" ref="F30:F35" si="11">D30*$D$11</f>
        <v>0</v>
      </c>
      <c r="G30" s="89"/>
      <c r="H30" s="414">
        <v>43.6</v>
      </c>
      <c r="I30" s="98">
        <v>0</v>
      </c>
      <c r="J30" s="117">
        <f t="shared" si="1"/>
        <v>0</v>
      </c>
      <c r="K30" s="118">
        <f>I30*$I$11</f>
        <v>0</v>
      </c>
      <c r="L30" s="89"/>
      <c r="M30" s="414">
        <v>170.6</v>
      </c>
      <c r="N30" s="116">
        <v>0</v>
      </c>
      <c r="O30" s="117">
        <f t="shared" si="2"/>
        <v>0</v>
      </c>
      <c r="P30" s="122">
        <f>N30*$N$11</f>
        <v>0</v>
      </c>
      <c r="Q30" s="15"/>
      <c r="R30" s="37" t="s">
        <v>478</v>
      </c>
      <c r="S30" s="91">
        <v>0.24</v>
      </c>
      <c r="T30" s="267">
        <v>157</v>
      </c>
      <c r="U30" s="274">
        <f>T30/X30</f>
        <v>0.32708333333333334</v>
      </c>
      <c r="V30" s="91">
        <v>60</v>
      </c>
      <c r="W30" s="274">
        <f>V30*U30</f>
        <v>19.625</v>
      </c>
      <c r="X30" s="2">
        <f>2000*S30</f>
        <v>480</v>
      </c>
      <c r="Y30" s="37"/>
      <c r="Z30" s="37"/>
      <c r="AA30" s="37"/>
      <c r="AB30" s="37"/>
      <c r="AC30" s="37"/>
      <c r="AD30" s="37"/>
      <c r="AE30" s="37"/>
    </row>
    <row r="31" spans="1:31" ht="16.5" customHeight="1">
      <c r="A31" s="272" t="s">
        <v>62</v>
      </c>
      <c r="B31" s="123"/>
      <c r="C31" s="414">
        <v>0</v>
      </c>
      <c r="D31" s="98">
        <v>0</v>
      </c>
      <c r="E31" s="117">
        <f t="shared" si="0"/>
        <v>0</v>
      </c>
      <c r="F31" s="118">
        <f t="shared" si="11"/>
        <v>0</v>
      </c>
      <c r="G31" s="89"/>
      <c r="H31" s="414">
        <v>0</v>
      </c>
      <c r="I31" s="116">
        <v>0</v>
      </c>
      <c r="J31" s="117">
        <f t="shared" si="1"/>
        <v>0</v>
      </c>
      <c r="K31" s="118">
        <f t="shared" ref="K31:K35" si="12">I31*$I$11</f>
        <v>0</v>
      </c>
      <c r="L31" s="89"/>
      <c r="M31" s="414">
        <v>0</v>
      </c>
      <c r="N31" s="116">
        <v>0</v>
      </c>
      <c r="O31" s="117">
        <f t="shared" si="2"/>
        <v>0</v>
      </c>
      <c r="P31" s="122">
        <f t="shared" ref="P31:P35" si="13">N31*$N$11</f>
        <v>0</v>
      </c>
      <c r="Q31" s="15"/>
      <c r="R31" s="37"/>
      <c r="S31" s="209"/>
      <c r="T31" s="209"/>
      <c r="U31" s="209"/>
      <c r="V31" s="209"/>
      <c r="W31" s="274">
        <f>SUM(W28:W30)</f>
        <v>40.978442028985505</v>
      </c>
      <c r="X31" s="2"/>
      <c r="Y31" s="37"/>
      <c r="Z31" s="37"/>
      <c r="AA31" s="37"/>
      <c r="AB31" s="37"/>
      <c r="AC31" s="37"/>
      <c r="AD31" s="37"/>
      <c r="AE31" s="37"/>
    </row>
    <row r="32" spans="1:31" ht="16.5" customHeight="1">
      <c r="A32" s="272" t="s">
        <v>80</v>
      </c>
      <c r="B32" s="123"/>
      <c r="C32" s="414">
        <v>0</v>
      </c>
      <c r="D32" s="98">
        <v>0</v>
      </c>
      <c r="E32" s="117">
        <f t="shared" si="0"/>
        <v>0</v>
      </c>
      <c r="F32" s="118">
        <f t="shared" si="11"/>
        <v>0</v>
      </c>
      <c r="G32" s="89"/>
      <c r="H32" s="414">
        <v>0</v>
      </c>
      <c r="I32" s="116">
        <v>0</v>
      </c>
      <c r="J32" s="117">
        <f t="shared" si="1"/>
        <v>0</v>
      </c>
      <c r="K32" s="118">
        <f t="shared" si="12"/>
        <v>0</v>
      </c>
      <c r="L32" s="89"/>
      <c r="M32" s="414">
        <v>0</v>
      </c>
      <c r="N32" s="116">
        <v>0</v>
      </c>
      <c r="O32" s="117">
        <f t="shared" si="2"/>
        <v>0</v>
      </c>
      <c r="P32" s="122">
        <f t="shared" si="13"/>
        <v>0</v>
      </c>
      <c r="Q32" s="15"/>
      <c r="R32" s="37"/>
      <c r="S32" s="209"/>
      <c r="T32" s="209"/>
      <c r="U32" s="209"/>
      <c r="X32" s="2"/>
      <c r="Y32" s="37"/>
      <c r="Z32" s="37"/>
      <c r="AA32" s="37"/>
      <c r="AB32" s="37"/>
      <c r="AC32" s="37"/>
      <c r="AD32" s="37"/>
      <c r="AE32" s="37"/>
    </row>
    <row r="33" spans="1:31" ht="16.5" customHeight="1">
      <c r="A33" s="83" t="s">
        <v>43</v>
      </c>
      <c r="B33" s="84"/>
      <c r="C33" s="414">
        <v>9.4499999999999993</v>
      </c>
      <c r="D33" s="98">
        <v>0</v>
      </c>
      <c r="E33" s="117">
        <f t="shared" si="0"/>
        <v>0</v>
      </c>
      <c r="F33" s="118">
        <f t="shared" si="11"/>
        <v>0</v>
      </c>
      <c r="G33" s="89"/>
      <c r="H33" s="414">
        <v>9.65</v>
      </c>
      <c r="I33" s="116">
        <v>0</v>
      </c>
      <c r="J33" s="117">
        <f t="shared" si="1"/>
        <v>0</v>
      </c>
      <c r="K33" s="118">
        <f t="shared" si="12"/>
        <v>0</v>
      </c>
      <c r="L33" s="89"/>
      <c r="M33" s="414">
        <v>60.78</v>
      </c>
      <c r="N33" s="116">
        <v>0</v>
      </c>
      <c r="O33" s="117">
        <f t="shared" si="2"/>
        <v>0</v>
      </c>
      <c r="P33" s="122">
        <f t="shared" si="13"/>
        <v>0</v>
      </c>
      <c r="Q33" s="15"/>
      <c r="R33" s="37"/>
      <c r="S33" s="268"/>
      <c r="T33" s="268"/>
      <c r="U33" s="209"/>
      <c r="V33" s="278" t="s">
        <v>479</v>
      </c>
      <c r="W33" s="279">
        <f>W26+W31</f>
        <v>107.09800724637682</v>
      </c>
      <c r="X33" s="2"/>
      <c r="Y33" s="37"/>
      <c r="Z33" s="37"/>
      <c r="AA33" s="37"/>
      <c r="AB33" s="37"/>
      <c r="AC33" s="37"/>
      <c r="AD33" s="37"/>
      <c r="AE33" s="37"/>
    </row>
    <row r="34" spans="1:31" ht="16.5" customHeight="1">
      <c r="A34" s="83" t="s">
        <v>274</v>
      </c>
      <c r="B34" s="84"/>
      <c r="C34" s="414">
        <v>0</v>
      </c>
      <c r="D34" s="98">
        <v>0</v>
      </c>
      <c r="E34" s="117">
        <f t="shared" si="0"/>
        <v>0</v>
      </c>
      <c r="F34" s="118">
        <f t="shared" si="11"/>
        <v>0</v>
      </c>
      <c r="G34" s="89"/>
      <c r="H34" s="414">
        <v>4.21</v>
      </c>
      <c r="I34" s="98">
        <v>0</v>
      </c>
      <c r="J34" s="117">
        <f t="shared" si="1"/>
        <v>0</v>
      </c>
      <c r="K34" s="118">
        <f t="shared" si="12"/>
        <v>0</v>
      </c>
      <c r="L34" s="89"/>
      <c r="M34" s="414">
        <v>0</v>
      </c>
      <c r="N34" s="116">
        <v>0</v>
      </c>
      <c r="O34" s="117">
        <f t="shared" si="2"/>
        <v>0</v>
      </c>
      <c r="P34" s="122">
        <f t="shared" si="13"/>
        <v>0</v>
      </c>
      <c r="Q34" s="15"/>
      <c r="R34" s="37" t="s">
        <v>322</v>
      </c>
      <c r="S34" s="209"/>
      <c r="T34" s="209"/>
      <c r="U34" s="209"/>
      <c r="V34" s="209"/>
      <c r="W34" s="209"/>
      <c r="X34" s="2"/>
      <c r="Y34" s="37"/>
      <c r="Z34" s="37"/>
      <c r="AA34" s="37"/>
      <c r="AB34" s="37"/>
      <c r="AC34" s="37"/>
      <c r="AD34" s="37"/>
      <c r="AE34" s="37"/>
    </row>
    <row r="35" spans="1:31" ht="16.5" customHeight="1">
      <c r="A35" s="83" t="s">
        <v>49</v>
      </c>
      <c r="B35" s="84"/>
      <c r="C35" s="414">
        <v>0</v>
      </c>
      <c r="D35" s="98">
        <v>0</v>
      </c>
      <c r="E35" s="117">
        <f t="shared" si="0"/>
        <v>0</v>
      </c>
      <c r="F35" s="118">
        <f t="shared" si="11"/>
        <v>0</v>
      </c>
      <c r="G35" s="89"/>
      <c r="H35" s="414">
        <v>0</v>
      </c>
      <c r="I35" s="98">
        <v>0</v>
      </c>
      <c r="J35" s="117">
        <f t="shared" si="1"/>
        <v>0</v>
      </c>
      <c r="K35" s="118">
        <f t="shared" si="12"/>
        <v>0</v>
      </c>
      <c r="L35" s="89"/>
      <c r="M35" s="414">
        <v>0</v>
      </c>
      <c r="N35" s="116">
        <v>0</v>
      </c>
      <c r="O35" s="117">
        <f t="shared" si="2"/>
        <v>0</v>
      </c>
      <c r="P35" s="122">
        <f t="shared" si="13"/>
        <v>0</v>
      </c>
      <c r="Q35" s="15"/>
      <c r="R35" s="37" t="s">
        <v>0</v>
      </c>
      <c r="S35" s="209" t="s">
        <v>323</v>
      </c>
      <c r="T35" s="209" t="s">
        <v>326</v>
      </c>
      <c r="U35" s="209">
        <v>0.28000000000000003</v>
      </c>
      <c r="V35" s="209"/>
      <c r="W35" s="209"/>
      <c r="Y35" s="37"/>
      <c r="Z35" s="37"/>
      <c r="AA35" s="37"/>
      <c r="AB35" s="37"/>
      <c r="AC35" s="37"/>
      <c r="AD35" s="37"/>
      <c r="AE35" s="37"/>
    </row>
    <row r="36" spans="1:31" ht="16.5" customHeight="1">
      <c r="A36" s="83" t="s">
        <v>45</v>
      </c>
      <c r="B36" s="94"/>
      <c r="C36" s="287"/>
      <c r="D36" s="120"/>
      <c r="E36" s="121">
        <f t="shared" si="0"/>
        <v>0</v>
      </c>
      <c r="F36" s="118"/>
      <c r="G36" s="89"/>
      <c r="H36" s="287"/>
      <c r="I36" s="120"/>
      <c r="J36" s="121">
        <f t="shared" si="1"/>
        <v>0</v>
      </c>
      <c r="K36" s="118"/>
      <c r="L36" s="89"/>
      <c r="M36" s="287"/>
      <c r="N36" s="120"/>
      <c r="O36" s="121">
        <f t="shared" si="2"/>
        <v>0</v>
      </c>
      <c r="P36" s="122"/>
      <c r="Q36" s="15"/>
      <c r="R36" s="37" t="s">
        <v>1</v>
      </c>
      <c r="S36" s="209" t="s">
        <v>324</v>
      </c>
      <c r="T36" s="209" t="s">
        <v>326</v>
      </c>
      <c r="U36" s="209">
        <v>0.46</v>
      </c>
      <c r="V36" s="209"/>
      <c r="W36" s="209"/>
      <c r="Y36" s="37"/>
      <c r="Z36" s="37"/>
      <c r="AA36" s="37"/>
      <c r="AB36" s="37"/>
      <c r="AC36" s="37"/>
      <c r="AD36" s="37"/>
      <c r="AE36" s="37"/>
    </row>
    <row r="37" spans="1:31" ht="16.5" customHeight="1">
      <c r="A37" s="398" t="s">
        <v>46</v>
      </c>
      <c r="B37" s="84"/>
      <c r="C37" s="414">
        <v>20.260000000000002</v>
      </c>
      <c r="D37" s="98">
        <v>0</v>
      </c>
      <c r="E37" s="117">
        <f t="shared" si="0"/>
        <v>0</v>
      </c>
      <c r="F37" s="118">
        <f>D37*$D$11</f>
        <v>0</v>
      </c>
      <c r="G37" s="89"/>
      <c r="H37" s="414">
        <v>27.2</v>
      </c>
      <c r="I37" s="98">
        <v>0</v>
      </c>
      <c r="J37" s="117">
        <f t="shared" si="1"/>
        <v>0</v>
      </c>
      <c r="K37" s="118">
        <f t="shared" ref="K37:K54" si="14">I37*$I$11</f>
        <v>0</v>
      </c>
      <c r="L37" s="89"/>
      <c r="M37" s="414">
        <v>207.4</v>
      </c>
      <c r="N37" s="116">
        <v>0</v>
      </c>
      <c r="O37" s="117">
        <f t="shared" si="2"/>
        <v>0</v>
      </c>
      <c r="P37" s="122">
        <f t="shared" ref="P37:P59" si="15">N37*$N$11</f>
        <v>0</v>
      </c>
      <c r="Q37" s="15"/>
      <c r="R37" s="37" t="s">
        <v>2</v>
      </c>
      <c r="S37" s="209" t="s">
        <v>325</v>
      </c>
      <c r="T37" s="209" t="s">
        <v>326</v>
      </c>
      <c r="U37" s="280">
        <v>0.6</v>
      </c>
      <c r="V37" s="209"/>
      <c r="W37" s="209"/>
      <c r="Y37" s="37"/>
      <c r="Z37" s="37"/>
      <c r="AA37" s="37"/>
      <c r="AB37" s="37"/>
      <c r="AC37" s="37"/>
      <c r="AD37" s="37"/>
      <c r="AE37" s="37"/>
    </row>
    <row r="38" spans="1:31" ht="16.5" customHeight="1">
      <c r="A38" s="398" t="s">
        <v>47</v>
      </c>
      <c r="B38" s="84"/>
      <c r="C38" s="414">
        <v>0</v>
      </c>
      <c r="D38" s="116">
        <v>0</v>
      </c>
      <c r="E38" s="117">
        <f t="shared" si="0"/>
        <v>0</v>
      </c>
      <c r="F38" s="118">
        <f>D38*$D$11</f>
        <v>0</v>
      </c>
      <c r="G38" s="89"/>
      <c r="H38" s="414">
        <v>0</v>
      </c>
      <c r="I38" s="116">
        <v>0</v>
      </c>
      <c r="J38" s="117">
        <f t="shared" si="1"/>
        <v>0</v>
      </c>
      <c r="K38" s="118">
        <f t="shared" si="14"/>
        <v>0</v>
      </c>
      <c r="L38" s="89"/>
      <c r="M38" s="414">
        <v>0</v>
      </c>
      <c r="N38" s="116">
        <v>0</v>
      </c>
      <c r="O38" s="117">
        <f t="shared" si="2"/>
        <v>0</v>
      </c>
      <c r="P38" s="122">
        <f t="shared" si="15"/>
        <v>0</v>
      </c>
      <c r="Q38" s="15"/>
      <c r="R38" s="37"/>
      <c r="S38" s="209"/>
      <c r="T38" s="209"/>
      <c r="U38" s="209"/>
      <c r="V38" s="209"/>
      <c r="W38" s="209"/>
    </row>
    <row r="39" spans="1:31" ht="16.5" customHeight="1">
      <c r="A39" s="83" t="s">
        <v>48</v>
      </c>
      <c r="B39" s="94"/>
      <c r="C39" s="287"/>
      <c r="D39" s="124"/>
      <c r="E39" s="121">
        <f t="shared" si="0"/>
        <v>0</v>
      </c>
      <c r="F39" s="118"/>
      <c r="G39" s="89"/>
      <c r="H39" s="287"/>
      <c r="I39" s="124"/>
      <c r="J39" s="121">
        <f t="shared" si="1"/>
        <v>0</v>
      </c>
      <c r="K39" s="118"/>
      <c r="L39" s="89"/>
      <c r="M39" s="287"/>
      <c r="N39" s="124"/>
      <c r="O39" s="121">
        <f t="shared" si="2"/>
        <v>0</v>
      </c>
      <c r="P39" s="122"/>
      <c r="Q39" s="15"/>
      <c r="R39" s="37"/>
      <c r="S39" s="209"/>
      <c r="T39" s="209"/>
      <c r="U39" s="209"/>
      <c r="V39" s="209"/>
      <c r="W39" s="209"/>
      <c r="Y39" s="7" t="s">
        <v>406</v>
      </c>
      <c r="Z39" s="13">
        <f>2000*(S42/100)</f>
        <v>360</v>
      </c>
      <c r="AA39" s="13">
        <f>2000*(T42/100)</f>
        <v>920</v>
      </c>
      <c r="AB39" s="13"/>
      <c r="AC39" s="13">
        <f>SUM(Z39:AA39)</f>
        <v>1280</v>
      </c>
    </row>
    <row r="40" spans="1:31" ht="16.5" customHeight="1">
      <c r="A40" s="398" t="s">
        <v>275</v>
      </c>
      <c r="B40" s="125"/>
      <c r="C40" s="414">
        <v>35.32</v>
      </c>
      <c r="D40" s="98">
        <v>0</v>
      </c>
      <c r="E40" s="117">
        <f t="shared" si="0"/>
        <v>0</v>
      </c>
      <c r="F40" s="118">
        <f>D40*$D$11</f>
        <v>0</v>
      </c>
      <c r="G40" s="89"/>
      <c r="H40" s="414">
        <v>58.73</v>
      </c>
      <c r="I40" s="98">
        <v>0</v>
      </c>
      <c r="J40" s="117">
        <f t="shared" si="1"/>
        <v>0</v>
      </c>
      <c r="K40" s="118">
        <f t="shared" si="14"/>
        <v>0</v>
      </c>
      <c r="L40" s="89"/>
      <c r="M40" s="414">
        <v>347.77</v>
      </c>
      <c r="N40" s="116">
        <v>0</v>
      </c>
      <c r="O40" s="117">
        <f t="shared" si="2"/>
        <v>0</v>
      </c>
      <c r="P40" s="122">
        <f t="shared" si="15"/>
        <v>0</v>
      </c>
      <c r="Q40" s="15"/>
      <c r="R40" s="513" t="s">
        <v>408</v>
      </c>
      <c r="S40" s="514"/>
      <c r="T40" s="514"/>
      <c r="U40" s="514"/>
      <c r="V40" s="514"/>
      <c r="W40" s="515"/>
      <c r="Y40" s="7" t="s">
        <v>407</v>
      </c>
      <c r="Z40" s="13">
        <f>Z39/(Z39+AA39)</f>
        <v>0.28125</v>
      </c>
      <c r="AA40" s="13">
        <f>AA39/(Z39+AA39)</f>
        <v>0.71875</v>
      </c>
      <c r="AB40" s="13"/>
      <c r="AC40" s="13">
        <f>SUM(Z40:AA40)</f>
        <v>1</v>
      </c>
    </row>
    <row r="41" spans="1:31" ht="16.5" customHeight="1">
      <c r="A41" s="398" t="s">
        <v>276</v>
      </c>
      <c r="B41" s="125"/>
      <c r="C41" s="414">
        <v>0</v>
      </c>
      <c r="D41" s="116">
        <v>0</v>
      </c>
      <c r="E41" s="117">
        <f t="shared" si="0"/>
        <v>0</v>
      </c>
      <c r="F41" s="118">
        <f>D41*$D$11</f>
        <v>0</v>
      </c>
      <c r="G41" s="89"/>
      <c r="H41" s="414">
        <v>0</v>
      </c>
      <c r="I41" s="116">
        <v>0</v>
      </c>
      <c r="J41" s="117">
        <f t="shared" si="1"/>
        <v>0</v>
      </c>
      <c r="K41" s="118">
        <f t="shared" si="14"/>
        <v>0</v>
      </c>
      <c r="L41" s="89"/>
      <c r="M41" s="414">
        <v>0</v>
      </c>
      <c r="N41" s="116">
        <v>0</v>
      </c>
      <c r="O41" s="117">
        <f t="shared" si="2"/>
        <v>0</v>
      </c>
      <c r="P41" s="122">
        <f t="shared" si="15"/>
        <v>0</v>
      </c>
      <c r="Q41" s="15"/>
      <c r="R41" s="37"/>
      <c r="S41" s="209" t="s">
        <v>53</v>
      </c>
      <c r="T41" s="209" t="s">
        <v>54</v>
      </c>
      <c r="U41" s="209" t="s">
        <v>405</v>
      </c>
      <c r="V41" s="209"/>
      <c r="W41" s="209"/>
    </row>
    <row r="42" spans="1:31" ht="16.5" customHeight="1">
      <c r="A42" s="83" t="s">
        <v>40</v>
      </c>
      <c r="B42" s="94"/>
      <c r="C42" s="287"/>
      <c r="D42" s="120"/>
      <c r="E42" s="121">
        <f t="shared" si="0"/>
        <v>0</v>
      </c>
      <c r="F42" s="118">
        <f>D42*$D$11</f>
        <v>0</v>
      </c>
      <c r="G42" s="89"/>
      <c r="H42" s="287"/>
      <c r="I42" s="120"/>
      <c r="J42" s="121">
        <f t="shared" si="1"/>
        <v>0</v>
      </c>
      <c r="K42" s="118">
        <f t="shared" si="14"/>
        <v>0</v>
      </c>
      <c r="L42" s="89"/>
      <c r="M42" s="287"/>
      <c r="N42" s="120"/>
      <c r="O42" s="121">
        <f t="shared" si="2"/>
        <v>0</v>
      </c>
      <c r="P42" s="122"/>
      <c r="Q42" s="15"/>
      <c r="R42" s="37"/>
      <c r="S42" s="91">
        <v>18</v>
      </c>
      <c r="T42" s="91">
        <v>46</v>
      </c>
      <c r="U42" s="266">
        <v>505</v>
      </c>
      <c r="V42" s="209"/>
      <c r="W42" s="209"/>
    </row>
    <row r="43" spans="1:31" ht="16.5" customHeight="1">
      <c r="A43" s="398" t="s">
        <v>41</v>
      </c>
      <c r="B43" s="84"/>
      <c r="C43" s="414">
        <v>9.19</v>
      </c>
      <c r="D43" s="98">
        <v>0</v>
      </c>
      <c r="E43" s="117">
        <f t="shared" si="0"/>
        <v>0</v>
      </c>
      <c r="F43" s="118">
        <f t="shared" ref="F43:F48" si="16">D43*$D$11</f>
        <v>0</v>
      </c>
      <c r="G43" s="89"/>
      <c r="H43" s="414">
        <v>5.82</v>
      </c>
      <c r="I43" s="98">
        <v>0</v>
      </c>
      <c r="J43" s="117">
        <f t="shared" si="1"/>
        <v>0</v>
      </c>
      <c r="K43" s="118">
        <f t="shared" si="14"/>
        <v>0</v>
      </c>
      <c r="L43" s="89"/>
      <c r="M43" s="414">
        <v>62.78</v>
      </c>
      <c r="N43" s="116">
        <v>0</v>
      </c>
      <c r="O43" s="117">
        <f t="shared" si="2"/>
        <v>0</v>
      </c>
      <c r="P43" s="122">
        <f t="shared" si="15"/>
        <v>0</v>
      </c>
      <c r="Q43" s="15"/>
      <c r="R43" s="37" t="s">
        <v>319</v>
      </c>
      <c r="S43" s="267">
        <v>0.4</v>
      </c>
      <c r="T43" s="101">
        <f>T44/AA39</f>
        <v>0.3923913043478261</v>
      </c>
      <c r="U43" s="268"/>
      <c r="V43" s="209"/>
      <c r="W43" s="209"/>
    </row>
    <row r="44" spans="1:31" ht="16.5" customHeight="1">
      <c r="A44" s="398" t="s">
        <v>42</v>
      </c>
      <c r="B44" s="84"/>
      <c r="C44" s="414">
        <f>1.04+0.76</f>
        <v>1.8</v>
      </c>
      <c r="D44" s="98">
        <v>0</v>
      </c>
      <c r="E44" s="117">
        <f t="shared" si="0"/>
        <v>0</v>
      </c>
      <c r="F44" s="118">
        <f t="shared" si="16"/>
        <v>0</v>
      </c>
      <c r="G44" s="89"/>
      <c r="H44" s="414">
        <f>2.82+3.21</f>
        <v>6.0299999999999994</v>
      </c>
      <c r="I44" s="98">
        <v>0</v>
      </c>
      <c r="J44" s="117">
        <f t="shared" si="1"/>
        <v>0</v>
      </c>
      <c r="K44" s="118">
        <f t="shared" si="14"/>
        <v>0</v>
      </c>
      <c r="L44" s="89"/>
      <c r="M44" s="414">
        <f>8.22+31.03</f>
        <v>39.25</v>
      </c>
      <c r="N44" s="116">
        <v>0</v>
      </c>
      <c r="O44" s="117">
        <f t="shared" si="2"/>
        <v>0</v>
      </c>
      <c r="P44" s="122">
        <f t="shared" si="15"/>
        <v>0</v>
      </c>
      <c r="Q44" s="15"/>
      <c r="R44" s="37" t="s">
        <v>318</v>
      </c>
      <c r="S44" s="101">
        <f>Z39*S43</f>
        <v>144</v>
      </c>
      <c r="T44" s="101">
        <f>U42-S44</f>
        <v>361</v>
      </c>
      <c r="U44" s="101">
        <f>SUM(S44:T44)</f>
        <v>505</v>
      </c>
      <c r="V44" s="268"/>
      <c r="W44" s="268"/>
    </row>
    <row r="45" spans="1:31" ht="16.5" customHeight="1">
      <c r="A45" s="398" t="s">
        <v>179</v>
      </c>
      <c r="B45" s="84"/>
      <c r="C45" s="414">
        <v>0</v>
      </c>
      <c r="D45" s="116">
        <v>0</v>
      </c>
      <c r="E45" s="117">
        <f t="shared" si="0"/>
        <v>0</v>
      </c>
      <c r="F45" s="118">
        <f t="shared" si="16"/>
        <v>0</v>
      </c>
      <c r="G45" s="89"/>
      <c r="H45" s="414">
        <v>0</v>
      </c>
      <c r="I45" s="116">
        <v>0</v>
      </c>
      <c r="J45" s="117">
        <f t="shared" si="1"/>
        <v>0</v>
      </c>
      <c r="K45" s="118">
        <f t="shared" si="14"/>
        <v>0</v>
      </c>
      <c r="L45" s="89"/>
      <c r="M45" s="414">
        <v>0</v>
      </c>
      <c r="N45" s="116">
        <v>0</v>
      </c>
      <c r="O45" s="117">
        <f t="shared" si="2"/>
        <v>0</v>
      </c>
      <c r="P45" s="122">
        <f t="shared" si="15"/>
        <v>0</v>
      </c>
      <c r="Q45" s="15"/>
      <c r="R45" s="7"/>
      <c r="S45" s="269"/>
      <c r="T45" s="269"/>
      <c r="U45" s="269"/>
      <c r="V45" s="269"/>
      <c r="W45" s="269"/>
    </row>
    <row r="46" spans="1:31" ht="16.5" customHeight="1">
      <c r="A46" s="83" t="s">
        <v>44</v>
      </c>
      <c r="B46" s="84"/>
      <c r="C46" s="414">
        <v>0</v>
      </c>
      <c r="D46" s="98">
        <v>0</v>
      </c>
      <c r="E46" s="117">
        <f t="shared" si="0"/>
        <v>0</v>
      </c>
      <c r="F46" s="118">
        <f t="shared" si="16"/>
        <v>0</v>
      </c>
      <c r="G46" s="89"/>
      <c r="H46" s="414">
        <v>0</v>
      </c>
      <c r="I46" s="116">
        <v>0</v>
      </c>
      <c r="J46" s="117">
        <f t="shared" si="1"/>
        <v>0</v>
      </c>
      <c r="K46" s="118">
        <f t="shared" si="14"/>
        <v>0</v>
      </c>
      <c r="L46" s="89"/>
      <c r="M46" s="414">
        <v>151.65</v>
      </c>
      <c r="N46" s="116">
        <v>0</v>
      </c>
      <c r="O46" s="117">
        <f t="shared" si="2"/>
        <v>0</v>
      </c>
      <c r="P46" s="122">
        <f t="shared" si="15"/>
        <v>0</v>
      </c>
      <c r="Q46" s="15"/>
      <c r="R46" s="512" t="s">
        <v>444</v>
      </c>
      <c r="S46" s="512"/>
      <c r="T46" s="512"/>
      <c r="U46" s="512"/>
      <c r="V46" s="512"/>
      <c r="W46" s="269"/>
    </row>
    <row r="47" spans="1:31" ht="16.5" customHeight="1">
      <c r="A47" s="83" t="s">
        <v>50</v>
      </c>
      <c r="B47" s="84"/>
      <c r="C47" s="414">
        <v>0</v>
      </c>
      <c r="D47" s="98">
        <v>0</v>
      </c>
      <c r="E47" s="117">
        <f t="shared" si="0"/>
        <v>0</v>
      </c>
      <c r="F47" s="118">
        <f t="shared" si="16"/>
        <v>0</v>
      </c>
      <c r="G47" s="89"/>
      <c r="H47" s="414">
        <v>0</v>
      </c>
      <c r="I47" s="116">
        <v>0</v>
      </c>
      <c r="J47" s="117">
        <f t="shared" si="1"/>
        <v>0</v>
      </c>
      <c r="K47" s="118">
        <f t="shared" si="14"/>
        <v>0</v>
      </c>
      <c r="L47" s="89"/>
      <c r="M47" s="414">
        <f>22.09+4.18</f>
        <v>26.27</v>
      </c>
      <c r="N47" s="116">
        <v>0</v>
      </c>
      <c r="O47" s="117">
        <f t="shared" si="2"/>
        <v>0</v>
      </c>
      <c r="P47" s="122">
        <f t="shared" si="15"/>
        <v>0</v>
      </c>
      <c r="Q47" s="15"/>
      <c r="R47" s="512"/>
      <c r="S47" s="512"/>
      <c r="T47" s="512"/>
      <c r="U47" s="512"/>
      <c r="V47" s="512"/>
      <c r="W47" s="269"/>
    </row>
    <row r="48" spans="1:31" ht="16.5" customHeight="1">
      <c r="A48" s="83" t="s">
        <v>51</v>
      </c>
      <c r="B48" s="84"/>
      <c r="C48" s="414">
        <v>4.1500000000000004</v>
      </c>
      <c r="D48" s="98">
        <v>0</v>
      </c>
      <c r="E48" s="117">
        <f t="shared" si="0"/>
        <v>0</v>
      </c>
      <c r="F48" s="118">
        <f t="shared" si="16"/>
        <v>0</v>
      </c>
      <c r="G48" s="89"/>
      <c r="H48" s="414">
        <v>6.74</v>
      </c>
      <c r="I48" s="98">
        <v>0</v>
      </c>
      <c r="J48" s="117">
        <f t="shared" si="1"/>
        <v>0</v>
      </c>
      <c r="K48" s="118">
        <f t="shared" si="14"/>
        <v>0</v>
      </c>
      <c r="L48" s="89"/>
      <c r="M48" s="414">
        <f>19.6+11.14</f>
        <v>30.740000000000002</v>
      </c>
      <c r="N48" s="116">
        <v>0</v>
      </c>
      <c r="O48" s="117">
        <f t="shared" si="2"/>
        <v>0</v>
      </c>
      <c r="P48" s="122">
        <f t="shared" si="15"/>
        <v>0</v>
      </c>
      <c r="Q48" s="15"/>
      <c r="R48" s="512"/>
      <c r="S48" s="512"/>
      <c r="T48" s="512"/>
      <c r="U48" s="512"/>
      <c r="V48" s="512"/>
      <c r="W48" s="268"/>
    </row>
    <row r="49" spans="1:27" ht="16.5" customHeight="1">
      <c r="A49" s="83" t="s">
        <v>52</v>
      </c>
      <c r="B49" s="94"/>
      <c r="C49" s="287"/>
      <c r="D49" s="120"/>
      <c r="E49" s="121">
        <f t="shared" si="0"/>
        <v>0</v>
      </c>
      <c r="F49" s="118"/>
      <c r="G49" s="89"/>
      <c r="H49" s="287"/>
      <c r="I49" s="120"/>
      <c r="J49" s="121">
        <f t="shared" si="1"/>
        <v>0</v>
      </c>
      <c r="K49" s="118"/>
      <c r="L49" s="89"/>
      <c r="M49" s="287"/>
      <c r="N49" s="120"/>
      <c r="O49" s="121">
        <f t="shared" si="2"/>
        <v>0</v>
      </c>
      <c r="P49" s="122"/>
      <c r="Q49" s="15"/>
      <c r="R49" s="7"/>
      <c r="S49" s="268"/>
      <c r="T49" s="268"/>
      <c r="U49" s="268"/>
      <c r="V49" s="268"/>
      <c r="W49" s="268"/>
    </row>
    <row r="50" spans="1:27" ht="16.5" customHeight="1">
      <c r="A50" s="398" t="s">
        <v>63</v>
      </c>
      <c r="B50" s="84"/>
      <c r="C50" s="414">
        <v>0</v>
      </c>
      <c r="D50" s="116">
        <v>0</v>
      </c>
      <c r="E50" s="117">
        <f t="shared" si="0"/>
        <v>0</v>
      </c>
      <c r="F50" s="118">
        <f>D50*$D$11</f>
        <v>0</v>
      </c>
      <c r="G50" s="89"/>
      <c r="H50" s="414">
        <v>0</v>
      </c>
      <c r="I50" s="116">
        <v>0</v>
      </c>
      <c r="J50" s="117">
        <f t="shared" si="1"/>
        <v>0</v>
      </c>
      <c r="K50" s="118">
        <f t="shared" si="14"/>
        <v>0</v>
      </c>
      <c r="L50" s="89"/>
      <c r="M50" s="414">
        <v>0</v>
      </c>
      <c r="N50" s="116">
        <v>0</v>
      </c>
      <c r="O50" s="117">
        <f t="shared" si="2"/>
        <v>0</v>
      </c>
      <c r="P50" s="122">
        <f t="shared" si="15"/>
        <v>0</v>
      </c>
      <c r="Q50" s="15"/>
      <c r="R50" s="512" t="s">
        <v>410</v>
      </c>
      <c r="S50" s="512"/>
      <c r="T50" s="512"/>
      <c r="U50" s="512"/>
      <c r="V50" s="512"/>
      <c r="W50" s="268"/>
    </row>
    <row r="51" spans="1:27" ht="16.5" customHeight="1">
      <c r="A51" s="398" t="s">
        <v>64</v>
      </c>
      <c r="B51" s="84"/>
      <c r="C51" s="414">
        <v>0</v>
      </c>
      <c r="D51" s="116">
        <v>0</v>
      </c>
      <c r="E51" s="117">
        <f t="shared" si="0"/>
        <v>0</v>
      </c>
      <c r="F51" s="118">
        <f t="shared" ref="F51:F54" si="17">D51*$D$11</f>
        <v>0</v>
      </c>
      <c r="G51" s="18"/>
      <c r="H51" s="414">
        <v>0</v>
      </c>
      <c r="I51" s="116">
        <v>0</v>
      </c>
      <c r="J51" s="117">
        <f t="shared" si="1"/>
        <v>0</v>
      </c>
      <c r="K51" s="118">
        <f t="shared" si="14"/>
        <v>0</v>
      </c>
      <c r="L51" s="18"/>
      <c r="M51" s="414">
        <v>0</v>
      </c>
      <c r="N51" s="116">
        <v>0</v>
      </c>
      <c r="O51" s="117">
        <f t="shared" si="2"/>
        <v>0</v>
      </c>
      <c r="P51" s="122">
        <f t="shared" si="15"/>
        <v>0</v>
      </c>
      <c r="Q51" s="15"/>
      <c r="R51" s="512"/>
      <c r="S51" s="512"/>
      <c r="T51" s="512"/>
      <c r="U51" s="512"/>
      <c r="V51" s="512"/>
      <c r="W51" s="268"/>
    </row>
    <row r="52" spans="1:27" ht="16.5" customHeight="1">
      <c r="A52" s="83" t="s">
        <v>413</v>
      </c>
      <c r="B52" s="84"/>
      <c r="C52" s="414">
        <f>1.52+3.73</f>
        <v>5.25</v>
      </c>
      <c r="D52" s="98">
        <v>0</v>
      </c>
      <c r="E52" s="117">
        <f t="shared" si="0"/>
        <v>0</v>
      </c>
      <c r="F52" s="118">
        <f>D52*$D$11</f>
        <v>0</v>
      </c>
      <c r="G52" s="18"/>
      <c r="H52" s="414">
        <f>0.67+12.23</f>
        <v>12.9</v>
      </c>
      <c r="I52" s="98">
        <v>0</v>
      </c>
      <c r="J52" s="117">
        <f t="shared" si="1"/>
        <v>0</v>
      </c>
      <c r="K52" s="118">
        <f>I52*$I$11</f>
        <v>0</v>
      </c>
      <c r="L52" s="18"/>
      <c r="M52" s="414">
        <f>201.53+140.09</f>
        <v>341.62</v>
      </c>
      <c r="N52" s="116">
        <v>0</v>
      </c>
      <c r="O52" s="117">
        <f t="shared" si="2"/>
        <v>0</v>
      </c>
      <c r="P52" s="122">
        <f>N52*$N$11</f>
        <v>0</v>
      </c>
      <c r="Q52" s="15"/>
      <c r="R52" s="512"/>
      <c r="S52" s="512"/>
      <c r="T52" s="512"/>
      <c r="U52" s="512"/>
      <c r="V52" s="512"/>
      <c r="W52" s="268"/>
    </row>
    <row r="53" spans="1:27" ht="16.5" customHeight="1">
      <c r="A53" s="88" t="s">
        <v>472</v>
      </c>
      <c r="B53" s="84"/>
      <c r="C53" s="414">
        <v>2.97</v>
      </c>
      <c r="D53" s="98">
        <v>0</v>
      </c>
      <c r="E53" s="117">
        <f t="shared" si="0"/>
        <v>0</v>
      </c>
      <c r="F53" s="118">
        <f t="shared" si="17"/>
        <v>0</v>
      </c>
      <c r="G53" s="89"/>
      <c r="H53" s="414">
        <v>7.21</v>
      </c>
      <c r="I53" s="98">
        <v>0</v>
      </c>
      <c r="J53" s="117">
        <f t="shared" si="1"/>
        <v>0</v>
      </c>
      <c r="K53" s="118">
        <f t="shared" ref="K53" si="18">I53*$I$11</f>
        <v>0</v>
      </c>
      <c r="L53" s="89"/>
      <c r="M53" s="414">
        <v>26.3</v>
      </c>
      <c r="N53" s="116">
        <v>0</v>
      </c>
      <c r="O53" s="117">
        <f t="shared" si="2"/>
        <v>0</v>
      </c>
      <c r="P53" s="122">
        <f t="shared" ref="P53" si="19">N53*$N$11</f>
        <v>0</v>
      </c>
      <c r="Q53" s="15"/>
      <c r="R53" s="512"/>
      <c r="S53" s="512"/>
      <c r="T53" s="512"/>
      <c r="U53" s="512"/>
      <c r="V53" s="512"/>
    </row>
    <row r="54" spans="1:27" ht="16.5" customHeight="1">
      <c r="A54" s="83" t="s">
        <v>411</v>
      </c>
      <c r="B54" s="84"/>
      <c r="C54" s="414">
        <f>2.09+1.92+6.99</f>
        <v>11</v>
      </c>
      <c r="D54" s="98">
        <v>0</v>
      </c>
      <c r="E54" s="117">
        <f t="shared" si="0"/>
        <v>0</v>
      </c>
      <c r="F54" s="118">
        <f t="shared" si="17"/>
        <v>0</v>
      </c>
      <c r="G54" s="18"/>
      <c r="H54" s="414">
        <f>3.31+6.11+8.18</f>
        <v>17.600000000000001</v>
      </c>
      <c r="I54" s="116">
        <v>0</v>
      </c>
      <c r="J54" s="117">
        <f t="shared" si="1"/>
        <v>0</v>
      </c>
      <c r="K54" s="118">
        <f t="shared" si="14"/>
        <v>0</v>
      </c>
      <c r="L54" s="18"/>
      <c r="M54" s="414">
        <f>1.47+55.88+9.98</f>
        <v>67.33</v>
      </c>
      <c r="N54" s="116">
        <v>0</v>
      </c>
      <c r="O54" s="117">
        <f t="shared" si="2"/>
        <v>0</v>
      </c>
      <c r="P54" s="122">
        <f t="shared" si="15"/>
        <v>0</v>
      </c>
      <c r="Q54" s="15"/>
      <c r="Y54" s="7" t="s">
        <v>406</v>
      </c>
      <c r="Z54" s="13">
        <f>2000*(S57/100)</f>
        <v>420</v>
      </c>
      <c r="AA54" s="13">
        <f>2000*(T57/100)</f>
        <v>480</v>
      </c>
    </row>
    <row r="55" spans="1:27" ht="16.5" customHeight="1" thickBot="1">
      <c r="A55" s="399" t="s">
        <v>499</v>
      </c>
      <c r="B55" s="123"/>
      <c r="C55" s="288">
        <f>SUM(C21:C54)</f>
        <v>176.99000000000004</v>
      </c>
      <c r="D55" s="126">
        <f>SUM(D21:D54)</f>
        <v>0</v>
      </c>
      <c r="E55" s="127"/>
      <c r="F55" s="128">
        <f>SUM(F21:F54)</f>
        <v>0</v>
      </c>
      <c r="G55" s="129"/>
      <c r="H55" s="288">
        <f>SUM(H21:H54)</f>
        <v>395.96</v>
      </c>
      <c r="I55" s="126">
        <f>SUM(I21:I54)</f>
        <v>0</v>
      </c>
      <c r="J55" s="127"/>
      <c r="K55" s="128">
        <f>SUM(K21:K54)</f>
        <v>0</v>
      </c>
      <c r="L55" s="129"/>
      <c r="M55" s="288">
        <f>SUM(M21:M54)</f>
        <v>2122.8900000000003</v>
      </c>
      <c r="N55" s="126">
        <f>SUM(N21:N54)</f>
        <v>0</v>
      </c>
      <c r="O55" s="127"/>
      <c r="P55" s="130">
        <f>SUM(P21:P54)</f>
        <v>0</v>
      </c>
      <c r="Q55" s="15"/>
      <c r="R55" s="513" t="s">
        <v>480</v>
      </c>
      <c r="S55" s="514"/>
      <c r="T55" s="514"/>
      <c r="U55" s="514"/>
      <c r="V55" s="514"/>
      <c r="W55" s="515"/>
      <c r="Y55" s="7" t="s">
        <v>407</v>
      </c>
      <c r="Z55" s="13">
        <f>Z54/(Z54+AA54)</f>
        <v>0.46666666666666667</v>
      </c>
      <c r="AA55" s="13">
        <f>AA54/(Z54+AA54)</f>
        <v>0.53333333333333333</v>
      </c>
    </row>
    <row r="56" spans="1:27" ht="16.5" customHeight="1" thickTop="1">
      <c r="A56" s="400" t="s">
        <v>500</v>
      </c>
      <c r="B56" s="131"/>
      <c r="C56" s="291">
        <f>C17-C55</f>
        <v>549.71910000000003</v>
      </c>
      <c r="D56" s="132">
        <f>D17-D55</f>
        <v>0</v>
      </c>
      <c r="E56" s="133"/>
      <c r="F56" s="134">
        <f>D56*D11</f>
        <v>0</v>
      </c>
      <c r="G56" s="135"/>
      <c r="H56" s="291">
        <f>H17-H55</f>
        <v>590.34899999999993</v>
      </c>
      <c r="I56" s="132">
        <f>I17-I55</f>
        <v>0</v>
      </c>
      <c r="J56" s="133"/>
      <c r="K56" s="134">
        <f>I56*I11</f>
        <v>0</v>
      </c>
      <c r="L56" s="135"/>
      <c r="M56" s="291">
        <f>M17-M55</f>
        <v>550.03499999999985</v>
      </c>
      <c r="N56" s="132">
        <f>N17-N55</f>
        <v>0</v>
      </c>
      <c r="O56" s="133"/>
      <c r="P56" s="136">
        <f>N56*N11</f>
        <v>0</v>
      </c>
      <c r="R56" s="37"/>
      <c r="S56" s="209" t="s">
        <v>53</v>
      </c>
      <c r="T56" s="209" t="s">
        <v>56</v>
      </c>
      <c r="U56" s="209" t="s">
        <v>405</v>
      </c>
      <c r="V56" s="209"/>
      <c r="W56" s="209"/>
    </row>
    <row r="57" spans="1:27" ht="16.5" customHeight="1">
      <c r="A57" s="401" t="s">
        <v>501</v>
      </c>
      <c r="B57" s="17"/>
      <c r="C57" s="17"/>
      <c r="D57" s="137"/>
      <c r="E57" s="138"/>
      <c r="F57" s="90"/>
      <c r="G57" s="89"/>
      <c r="H57" s="17"/>
      <c r="I57" s="137"/>
      <c r="J57" s="93"/>
      <c r="K57" s="90"/>
      <c r="L57" s="89"/>
      <c r="M57" s="17"/>
      <c r="N57" s="137"/>
      <c r="O57" s="93"/>
      <c r="P57" s="110"/>
      <c r="R57" s="37"/>
      <c r="S57" s="91">
        <v>21</v>
      </c>
      <c r="T57" s="91">
        <v>24</v>
      </c>
      <c r="U57" s="266">
        <v>325</v>
      </c>
      <c r="V57" s="209"/>
      <c r="W57" s="209"/>
    </row>
    <row r="58" spans="1:27" ht="16.5" customHeight="1">
      <c r="A58" s="139" t="s">
        <v>502</v>
      </c>
      <c r="B58" s="17"/>
      <c r="C58" s="17"/>
      <c r="D58" s="112" t="s">
        <v>37</v>
      </c>
      <c r="E58" s="113"/>
      <c r="F58" s="114" t="s">
        <v>312</v>
      </c>
      <c r="G58" s="105"/>
      <c r="H58" s="17"/>
      <c r="I58" s="112" t="s">
        <v>37</v>
      </c>
      <c r="J58" s="113"/>
      <c r="K58" s="114" t="s">
        <v>312</v>
      </c>
      <c r="L58" s="105"/>
      <c r="M58" s="17"/>
      <c r="N58" s="112" t="s">
        <v>37</v>
      </c>
      <c r="O58" s="113"/>
      <c r="P58" s="115" t="s">
        <v>312</v>
      </c>
      <c r="Q58" s="15"/>
      <c r="R58" s="37" t="s">
        <v>319</v>
      </c>
      <c r="S58" s="267">
        <v>0.4</v>
      </c>
      <c r="T58" s="101">
        <f>T59/AA54</f>
        <v>0.32708333333333334</v>
      </c>
      <c r="U58" s="268"/>
      <c r="V58" s="209"/>
      <c r="W58" s="209"/>
    </row>
    <row r="59" spans="1:27" ht="16.5" customHeight="1">
      <c r="A59" s="402" t="s">
        <v>277</v>
      </c>
      <c r="B59" s="84"/>
      <c r="C59" s="415">
        <v>7.53</v>
      </c>
      <c r="D59" s="98">
        <v>0</v>
      </c>
      <c r="E59" s="117">
        <f t="shared" ref="E59:E64" si="20">D59</f>
        <v>0</v>
      </c>
      <c r="F59" s="118">
        <f t="shared" ref="F59" si="21">D59*$D$11</f>
        <v>0</v>
      </c>
      <c r="G59" s="89"/>
      <c r="H59" s="415">
        <v>10.23</v>
      </c>
      <c r="I59" s="98">
        <v>0</v>
      </c>
      <c r="J59" s="117">
        <f t="shared" ref="J59:J64" si="22">I59</f>
        <v>0</v>
      </c>
      <c r="K59" s="118">
        <f t="shared" ref="K59:K64" si="23">I59*$I$11</f>
        <v>0</v>
      </c>
      <c r="L59" s="89"/>
      <c r="M59" s="415">
        <v>60.95</v>
      </c>
      <c r="N59" s="116">
        <v>0</v>
      </c>
      <c r="O59" s="117">
        <f t="shared" ref="O59:O64" si="24">N59</f>
        <v>0</v>
      </c>
      <c r="P59" s="122">
        <f t="shared" si="15"/>
        <v>0</v>
      </c>
      <c r="Q59" s="15"/>
      <c r="R59" s="37" t="s">
        <v>318</v>
      </c>
      <c r="S59" s="101">
        <f>Z54*S58</f>
        <v>168</v>
      </c>
      <c r="T59" s="101">
        <f>U57-S59</f>
        <v>157</v>
      </c>
      <c r="U59" s="101">
        <f>SUM(S59:T59)</f>
        <v>325</v>
      </c>
      <c r="V59" s="268"/>
      <c r="W59" s="268"/>
    </row>
    <row r="60" spans="1:27" ht="16.5" customHeight="1">
      <c r="A60" s="88" t="s">
        <v>427</v>
      </c>
      <c r="B60" s="84"/>
      <c r="C60" s="415">
        <v>0</v>
      </c>
      <c r="D60" s="116">
        <v>0</v>
      </c>
      <c r="E60" s="117">
        <f t="shared" si="20"/>
        <v>0</v>
      </c>
      <c r="F60" s="118">
        <f>D60*$D$11</f>
        <v>0</v>
      </c>
      <c r="G60" s="89"/>
      <c r="H60" s="415">
        <v>0</v>
      </c>
      <c r="I60" s="116">
        <v>0</v>
      </c>
      <c r="J60" s="117">
        <f t="shared" si="22"/>
        <v>0</v>
      </c>
      <c r="K60" s="118">
        <f t="shared" si="23"/>
        <v>0</v>
      </c>
      <c r="L60" s="89"/>
      <c r="M60" s="415">
        <v>0</v>
      </c>
      <c r="N60" s="116">
        <v>0</v>
      </c>
      <c r="O60" s="117">
        <f t="shared" si="24"/>
        <v>0</v>
      </c>
      <c r="P60" s="122">
        <f>N60*$N$11</f>
        <v>0</v>
      </c>
      <c r="R60" s="7"/>
      <c r="S60" s="269"/>
      <c r="T60" s="269"/>
      <c r="U60" s="269"/>
      <c r="V60" s="269"/>
      <c r="W60" s="269"/>
    </row>
    <row r="61" spans="1:27" ht="16.5" customHeight="1">
      <c r="A61" s="88" t="s">
        <v>180</v>
      </c>
      <c r="B61" s="84"/>
      <c r="C61" s="415">
        <v>215.05</v>
      </c>
      <c r="D61" s="98">
        <v>0</v>
      </c>
      <c r="E61" s="117">
        <f t="shared" si="20"/>
        <v>0</v>
      </c>
      <c r="F61" s="118">
        <f>D61*$D$11</f>
        <v>0</v>
      </c>
      <c r="G61" s="89"/>
      <c r="H61" s="415">
        <v>236.49</v>
      </c>
      <c r="I61" s="98">
        <v>0</v>
      </c>
      <c r="J61" s="117">
        <f t="shared" si="22"/>
        <v>0</v>
      </c>
      <c r="K61" s="118">
        <f t="shared" si="23"/>
        <v>0</v>
      </c>
      <c r="L61" s="89"/>
      <c r="M61" s="415">
        <v>273.99</v>
      </c>
      <c r="N61" s="116">
        <v>0</v>
      </c>
      <c r="O61" s="117">
        <f t="shared" si="24"/>
        <v>0</v>
      </c>
      <c r="P61" s="122">
        <f>N61*$N$11</f>
        <v>0</v>
      </c>
      <c r="R61" s="512" t="s">
        <v>481</v>
      </c>
      <c r="S61" s="512"/>
      <c r="T61" s="512"/>
      <c r="U61" s="512"/>
      <c r="V61" s="512"/>
      <c r="W61" s="269"/>
    </row>
    <row r="62" spans="1:27" ht="16.5" customHeight="1">
      <c r="A62" s="88" t="s">
        <v>475</v>
      </c>
      <c r="B62" s="84"/>
      <c r="C62" s="415">
        <v>1.97</v>
      </c>
      <c r="D62" s="98">
        <v>0</v>
      </c>
      <c r="E62" s="117">
        <f t="shared" si="20"/>
        <v>0</v>
      </c>
      <c r="F62" s="118">
        <f t="shared" ref="F62" si="25">D62*$D$11</f>
        <v>0</v>
      </c>
      <c r="G62" s="89"/>
      <c r="H62" s="415">
        <v>3.8</v>
      </c>
      <c r="I62" s="98">
        <v>0</v>
      </c>
      <c r="J62" s="117">
        <f t="shared" si="22"/>
        <v>0</v>
      </c>
      <c r="K62" s="118">
        <f t="shared" si="23"/>
        <v>0</v>
      </c>
      <c r="L62" s="89"/>
      <c r="M62" s="415">
        <v>10.48</v>
      </c>
      <c r="N62" s="116">
        <v>0</v>
      </c>
      <c r="O62" s="117">
        <f t="shared" si="24"/>
        <v>0</v>
      </c>
      <c r="P62" s="122">
        <f t="shared" ref="P62" si="26">N62*$N$11</f>
        <v>0</v>
      </c>
      <c r="Q62" s="15"/>
      <c r="R62" s="512"/>
      <c r="S62" s="512"/>
      <c r="T62" s="512"/>
      <c r="U62" s="512"/>
      <c r="V62" s="512"/>
      <c r="W62" s="269"/>
    </row>
    <row r="63" spans="1:27" ht="16.5" customHeight="1">
      <c r="A63" s="88" t="s">
        <v>473</v>
      </c>
      <c r="B63" s="84"/>
      <c r="C63" s="415">
        <v>25.4</v>
      </c>
      <c r="D63" s="98">
        <v>0</v>
      </c>
      <c r="E63" s="117">
        <f t="shared" si="20"/>
        <v>0</v>
      </c>
      <c r="F63" s="118">
        <f>D63*$D$11</f>
        <v>0</v>
      </c>
      <c r="G63" s="18"/>
      <c r="H63" s="415">
        <v>48.43</v>
      </c>
      <c r="I63" s="98">
        <v>0</v>
      </c>
      <c r="J63" s="117">
        <f t="shared" si="22"/>
        <v>0</v>
      </c>
      <c r="K63" s="118">
        <f t="shared" si="23"/>
        <v>0</v>
      </c>
      <c r="L63" s="18"/>
      <c r="M63" s="415">
        <v>122.24</v>
      </c>
      <c r="N63" s="116">
        <v>0</v>
      </c>
      <c r="O63" s="117">
        <f t="shared" si="24"/>
        <v>0</v>
      </c>
      <c r="P63" s="122">
        <f>N63*$N$11</f>
        <v>0</v>
      </c>
      <c r="Q63" s="15"/>
      <c r="R63" s="512"/>
      <c r="S63" s="512"/>
      <c r="T63" s="512"/>
      <c r="U63" s="512"/>
      <c r="V63" s="512"/>
      <c r="W63" s="269"/>
    </row>
    <row r="64" spans="1:27" ht="16.5" customHeight="1">
      <c r="A64" s="403" t="s">
        <v>411</v>
      </c>
      <c r="B64" s="84"/>
      <c r="C64" s="415">
        <v>0</v>
      </c>
      <c r="D64" s="116">
        <v>0</v>
      </c>
      <c r="E64" s="117">
        <f t="shared" si="20"/>
        <v>0</v>
      </c>
      <c r="F64" s="118">
        <f>D64*$D$11</f>
        <v>0</v>
      </c>
      <c r="G64" s="89"/>
      <c r="H64" s="415">
        <v>0</v>
      </c>
      <c r="I64" s="116">
        <v>0</v>
      </c>
      <c r="J64" s="117">
        <f t="shared" si="22"/>
        <v>0</v>
      </c>
      <c r="K64" s="118">
        <f t="shared" si="23"/>
        <v>0</v>
      </c>
      <c r="L64" s="89"/>
      <c r="M64" s="415">
        <v>0</v>
      </c>
      <c r="N64" s="116">
        <v>0</v>
      </c>
      <c r="O64" s="117">
        <f t="shared" si="24"/>
        <v>0</v>
      </c>
      <c r="P64" s="122">
        <f>N64*$N$11</f>
        <v>0</v>
      </c>
      <c r="R64" s="417"/>
      <c r="S64" s="417"/>
      <c r="T64" s="417"/>
      <c r="U64" s="417"/>
      <c r="V64" s="417"/>
      <c r="W64" s="268"/>
    </row>
    <row r="65" spans="1:23" ht="16.5" customHeight="1">
      <c r="A65" s="404" t="s">
        <v>503</v>
      </c>
      <c r="B65" s="123"/>
      <c r="C65" s="301">
        <f>SUM(C59:C64)</f>
        <v>249.95000000000002</v>
      </c>
      <c r="D65" s="140">
        <f>SUM(D59:D64)</f>
        <v>0</v>
      </c>
      <c r="E65" s="141"/>
      <c r="F65" s="142">
        <f>SUM(F59:F64)</f>
        <v>0</v>
      </c>
      <c r="G65" s="129"/>
      <c r="H65" s="301">
        <f>SUM(H59:H64)</f>
        <v>298.95</v>
      </c>
      <c r="I65" s="140">
        <f>SUM(I59:I64)</f>
        <v>0</v>
      </c>
      <c r="J65" s="141"/>
      <c r="K65" s="142">
        <f>SUM(K59:K64)</f>
        <v>0</v>
      </c>
      <c r="L65" s="129"/>
      <c r="M65" s="301">
        <f>SUM(M59:M64)</f>
        <v>467.66</v>
      </c>
      <c r="N65" s="140">
        <f>SUM(N59:N64)</f>
        <v>0</v>
      </c>
      <c r="O65" s="141"/>
      <c r="P65" s="143">
        <f>SUM(P59:P64)</f>
        <v>0</v>
      </c>
      <c r="R65" s="7"/>
      <c r="S65" s="268"/>
      <c r="T65" s="268"/>
      <c r="U65" s="268"/>
      <c r="V65" s="268"/>
      <c r="W65" s="268"/>
    </row>
    <row r="66" spans="1:23" ht="16.5" customHeight="1" thickBot="1">
      <c r="A66" s="399" t="s">
        <v>504</v>
      </c>
      <c r="B66" s="123"/>
      <c r="C66" s="303">
        <f>C55+C65</f>
        <v>426.94000000000005</v>
      </c>
      <c r="D66" s="144">
        <f>D55+D65</f>
        <v>0</v>
      </c>
      <c r="E66" s="127"/>
      <c r="F66" s="128">
        <f>F55+F65</f>
        <v>0</v>
      </c>
      <c r="G66" s="129"/>
      <c r="H66" s="303">
        <f>H55+H65</f>
        <v>694.91</v>
      </c>
      <c r="I66" s="144">
        <f>I55+I65</f>
        <v>0</v>
      </c>
      <c r="J66" s="127"/>
      <c r="K66" s="128">
        <f>K55+K65</f>
        <v>0</v>
      </c>
      <c r="L66" s="129"/>
      <c r="M66" s="303">
        <f>M55+M65</f>
        <v>2590.5500000000002</v>
      </c>
      <c r="N66" s="144">
        <f>N55+N65</f>
        <v>0</v>
      </c>
      <c r="O66" s="127"/>
      <c r="P66" s="145">
        <f>P55+P65</f>
        <v>0</v>
      </c>
      <c r="R66" s="512" t="s">
        <v>482</v>
      </c>
      <c r="S66" s="512"/>
      <c r="T66" s="512"/>
      <c r="U66" s="512"/>
      <c r="V66" s="512"/>
      <c r="W66" s="268"/>
    </row>
    <row r="67" spans="1:23" ht="16.5" customHeight="1" thickTop="1">
      <c r="A67" s="405" t="s">
        <v>505</v>
      </c>
      <c r="B67" s="131"/>
      <c r="C67" s="304">
        <f>C17-C66</f>
        <v>299.76909999999998</v>
      </c>
      <c r="D67" s="132">
        <f>D17-D66</f>
        <v>0</v>
      </c>
      <c r="E67" s="133"/>
      <c r="F67" s="134">
        <f>D67*D11</f>
        <v>0</v>
      </c>
      <c r="G67" s="135"/>
      <c r="H67" s="304">
        <f>H17-H66</f>
        <v>291.399</v>
      </c>
      <c r="I67" s="132">
        <f>I17-I66</f>
        <v>0</v>
      </c>
      <c r="J67" s="133"/>
      <c r="K67" s="134">
        <f>I67*I11</f>
        <v>0</v>
      </c>
      <c r="L67" s="135"/>
      <c r="M67" s="304">
        <f>M17-M66</f>
        <v>82.375</v>
      </c>
      <c r="N67" s="132">
        <f>N17-N66</f>
        <v>0</v>
      </c>
      <c r="O67" s="133"/>
      <c r="P67" s="136">
        <f>N67*N11</f>
        <v>0</v>
      </c>
      <c r="R67" s="512"/>
      <c r="S67" s="512"/>
      <c r="T67" s="512"/>
      <c r="U67" s="512"/>
      <c r="V67" s="512"/>
      <c r="W67" s="268"/>
    </row>
    <row r="68" spans="1:23" ht="16.5" customHeight="1" thickBot="1">
      <c r="A68" s="406" t="s">
        <v>506</v>
      </c>
      <c r="B68" s="17"/>
      <c r="C68" s="17"/>
      <c r="D68" s="146"/>
      <c r="E68" s="135"/>
      <c r="F68" s="147"/>
      <c r="G68" s="148"/>
      <c r="H68" s="148"/>
      <c r="I68" s="146"/>
      <c r="J68" s="149"/>
      <c r="K68" s="147"/>
      <c r="L68" s="148"/>
      <c r="M68" s="148"/>
      <c r="N68" s="146"/>
      <c r="O68" s="149"/>
      <c r="P68" s="150"/>
      <c r="R68" s="512"/>
      <c r="S68" s="512"/>
      <c r="T68" s="512"/>
      <c r="U68" s="512"/>
      <c r="V68" s="512"/>
      <c r="W68" s="268"/>
    </row>
    <row r="69" spans="1:23" ht="16.5" customHeight="1" thickBot="1">
      <c r="A69" s="503" t="s">
        <v>428</v>
      </c>
      <c r="B69" s="504"/>
      <c r="C69" s="504"/>
      <c r="D69" s="504"/>
      <c r="E69" s="504"/>
      <c r="F69" s="504"/>
      <c r="G69" s="504"/>
      <c r="H69" s="504"/>
      <c r="I69" s="504"/>
      <c r="J69" s="504"/>
      <c r="K69" s="504"/>
      <c r="L69" s="504"/>
      <c r="M69" s="504"/>
      <c r="N69" s="504"/>
      <c r="O69" s="504"/>
      <c r="P69" s="505"/>
      <c r="R69" s="512"/>
      <c r="S69" s="512"/>
      <c r="T69" s="512"/>
      <c r="U69" s="512"/>
      <c r="V69" s="512"/>
    </row>
    <row r="70" spans="1:23" ht="16.5" customHeight="1">
      <c r="A70" s="396" t="s">
        <v>507</v>
      </c>
      <c r="B70" s="17"/>
      <c r="C70" s="17"/>
      <c r="D70" s="112" t="s">
        <v>37</v>
      </c>
      <c r="E70" s="113"/>
      <c r="F70" s="114" t="s">
        <v>312</v>
      </c>
      <c r="G70" s="105"/>
      <c r="H70" s="105"/>
      <c r="I70" s="112" t="s">
        <v>37</v>
      </c>
      <c r="J70" s="113"/>
      <c r="K70" s="114" t="s">
        <v>312</v>
      </c>
      <c r="L70" s="105"/>
      <c r="M70" s="105"/>
      <c r="N70" s="112" t="s">
        <v>37</v>
      </c>
      <c r="O70" s="113"/>
      <c r="P70" s="115" t="s">
        <v>312</v>
      </c>
    </row>
    <row r="71" spans="1:23" ht="16.5" customHeight="1">
      <c r="A71" s="88" t="s">
        <v>310</v>
      </c>
      <c r="B71" s="84"/>
      <c r="C71" s="415">
        <v>0</v>
      </c>
      <c r="D71" s="116">
        <v>0</v>
      </c>
      <c r="E71" s="117">
        <f t="shared" ref="E71:E73" si="27">D71</f>
        <v>0</v>
      </c>
      <c r="F71" s="118">
        <f>D71*$D$11</f>
        <v>0</v>
      </c>
      <c r="G71" s="89"/>
      <c r="H71" s="415">
        <v>0</v>
      </c>
      <c r="I71" s="116">
        <v>0</v>
      </c>
      <c r="J71" s="117">
        <f t="shared" ref="J71:J73" si="28">I71</f>
        <v>0</v>
      </c>
      <c r="K71" s="118">
        <f>I71*$I$11</f>
        <v>0</v>
      </c>
      <c r="L71" s="89"/>
      <c r="M71" s="415">
        <v>0</v>
      </c>
      <c r="N71" s="116">
        <v>0</v>
      </c>
      <c r="O71" s="117">
        <f t="shared" ref="O71:O73" si="29">N71</f>
        <v>0</v>
      </c>
      <c r="P71" s="122">
        <f>N71*$N$11</f>
        <v>0</v>
      </c>
      <c r="Q71" s="15"/>
    </row>
    <row r="72" spans="1:23" ht="16.5" customHeight="1">
      <c r="A72" s="88" t="s">
        <v>474</v>
      </c>
      <c r="B72" s="84"/>
      <c r="C72" s="415">
        <v>0</v>
      </c>
      <c r="D72" s="116">
        <v>0</v>
      </c>
      <c r="E72" s="117">
        <f t="shared" si="27"/>
        <v>0</v>
      </c>
      <c r="F72" s="118">
        <f>D72*$D$11</f>
        <v>0</v>
      </c>
      <c r="G72" s="18"/>
      <c r="H72" s="415">
        <v>0</v>
      </c>
      <c r="I72" s="116">
        <v>0</v>
      </c>
      <c r="J72" s="117">
        <f t="shared" si="28"/>
        <v>0</v>
      </c>
      <c r="K72" s="118">
        <f>I72*$I$11</f>
        <v>0</v>
      </c>
      <c r="L72" s="18"/>
      <c r="M72" s="415">
        <v>0</v>
      </c>
      <c r="N72" s="116">
        <v>0</v>
      </c>
      <c r="O72" s="117">
        <f t="shared" si="29"/>
        <v>0</v>
      </c>
      <c r="P72" s="122">
        <f>N72*$N$11</f>
        <v>0</v>
      </c>
      <c r="Q72" s="15"/>
    </row>
    <row r="73" spans="1:23" ht="16.5" customHeight="1">
      <c r="A73" s="88" t="s">
        <v>311</v>
      </c>
      <c r="B73" s="84"/>
      <c r="C73" s="415">
        <v>0</v>
      </c>
      <c r="D73" s="116">
        <v>0</v>
      </c>
      <c r="E73" s="117">
        <f t="shared" si="27"/>
        <v>0</v>
      </c>
      <c r="F73" s="118">
        <f>D73*$D$11</f>
        <v>0</v>
      </c>
      <c r="G73" s="89"/>
      <c r="H73" s="415">
        <v>0</v>
      </c>
      <c r="I73" s="116">
        <v>0</v>
      </c>
      <c r="J73" s="117">
        <f t="shared" si="28"/>
        <v>0</v>
      </c>
      <c r="K73" s="118">
        <f>I73*$I$11</f>
        <v>0</v>
      </c>
      <c r="L73" s="89"/>
      <c r="M73" s="415">
        <v>0</v>
      </c>
      <c r="N73" s="116">
        <v>0</v>
      </c>
      <c r="O73" s="117">
        <f t="shared" si="29"/>
        <v>0</v>
      </c>
      <c r="P73" s="122">
        <f>N73*$N$11</f>
        <v>0</v>
      </c>
    </row>
    <row r="74" spans="1:23" ht="16.5" customHeight="1">
      <c r="A74" s="151" t="s">
        <v>508</v>
      </c>
      <c r="B74" s="123"/>
      <c r="C74" s="301">
        <f>SUM(C71:C73)</f>
        <v>0</v>
      </c>
      <c r="D74" s="140">
        <f>SUM(D71:D73)</f>
        <v>0</v>
      </c>
      <c r="E74" s="152"/>
      <c r="F74" s="153">
        <f>SUM(F71:F73)</f>
        <v>0</v>
      </c>
      <c r="G74" s="129"/>
      <c r="H74" s="301">
        <f>SUM(H71:H73)</f>
        <v>0</v>
      </c>
      <c r="I74" s="140">
        <f>SUM(I71:I73)</f>
        <v>0</v>
      </c>
      <c r="J74" s="152"/>
      <c r="K74" s="153">
        <f>SUM(K71:K73)</f>
        <v>0</v>
      </c>
      <c r="L74" s="129"/>
      <c r="M74" s="301">
        <f>SUM(M71:M73)</f>
        <v>0</v>
      </c>
      <c r="N74" s="140">
        <f>SUM(N71:N73)</f>
        <v>0</v>
      </c>
      <c r="O74" s="152"/>
      <c r="P74" s="154">
        <f>SUM(P71:P73)</f>
        <v>0</v>
      </c>
    </row>
    <row r="75" spans="1:23" ht="16.5" customHeight="1" thickBot="1">
      <c r="A75" s="155" t="s">
        <v>509</v>
      </c>
      <c r="B75" s="123"/>
      <c r="C75" s="288">
        <f>C74+C66</f>
        <v>426.94000000000005</v>
      </c>
      <c r="D75" s="126">
        <f>D74+D66</f>
        <v>0</v>
      </c>
      <c r="E75" s="156"/>
      <c r="F75" s="157">
        <f>D75*D11</f>
        <v>0</v>
      </c>
      <c r="G75" s="129"/>
      <c r="H75" s="288">
        <f>H74+H66</f>
        <v>694.91</v>
      </c>
      <c r="I75" s="126">
        <f>I74+I66</f>
        <v>0</v>
      </c>
      <c r="J75" s="156"/>
      <c r="K75" s="157">
        <f>I75*I11</f>
        <v>0</v>
      </c>
      <c r="L75" s="129"/>
      <c r="M75" s="288">
        <f>M74+M66</f>
        <v>2590.5500000000002</v>
      </c>
      <c r="N75" s="126">
        <f>N74+N66</f>
        <v>0</v>
      </c>
      <c r="O75" s="156"/>
      <c r="P75" s="158">
        <f>N75*N11</f>
        <v>0</v>
      </c>
    </row>
    <row r="76" spans="1:23" ht="16.5" customHeight="1" thickTop="1">
      <c r="A76" s="407" t="s">
        <v>510</v>
      </c>
      <c r="B76" s="159"/>
      <c r="C76" s="302">
        <f>(C17-C75)+C62</f>
        <v>301.73910000000001</v>
      </c>
      <c r="D76" s="133">
        <f>(D17-D75)+D62</f>
        <v>0</v>
      </c>
      <c r="E76" s="133"/>
      <c r="F76" s="133">
        <f>D76*D11</f>
        <v>0</v>
      </c>
      <c r="G76" s="160"/>
      <c r="H76" s="302">
        <f>(H17-H75)+H62</f>
        <v>295.19900000000001</v>
      </c>
      <c r="I76" s="133">
        <f>(I17-I75)+I62</f>
        <v>0</v>
      </c>
      <c r="J76" s="133"/>
      <c r="K76" s="133">
        <f>I76*I11</f>
        <v>0</v>
      </c>
      <c r="L76" s="160"/>
      <c r="M76" s="302">
        <f>(M17-M75)+M62</f>
        <v>92.855000000000004</v>
      </c>
      <c r="N76" s="133">
        <f>(N17-N75)+N62</f>
        <v>0</v>
      </c>
      <c r="O76" s="133"/>
      <c r="P76" s="161">
        <f>N76*N11</f>
        <v>0</v>
      </c>
    </row>
    <row r="77" spans="1:23" ht="16.5" customHeight="1" thickBot="1">
      <c r="A77" s="408" t="s">
        <v>511</v>
      </c>
      <c r="B77" s="159"/>
      <c r="C77" s="123"/>
      <c r="D77" s="162"/>
      <c r="E77" s="129"/>
      <c r="F77" s="163"/>
      <c r="G77" s="129"/>
      <c r="H77" s="129"/>
      <c r="I77" s="162"/>
      <c r="J77" s="129"/>
      <c r="K77" s="163"/>
      <c r="L77" s="129"/>
      <c r="M77" s="129"/>
      <c r="N77" s="162"/>
      <c r="O77" s="129"/>
      <c r="P77" s="164"/>
    </row>
    <row r="78" spans="1:23" ht="16.5" hidden="1" customHeight="1">
      <c r="A78" s="509" t="s">
        <v>429</v>
      </c>
      <c r="B78" s="510"/>
      <c r="C78" s="510"/>
      <c r="D78" s="510"/>
      <c r="E78" s="510"/>
      <c r="F78" s="510"/>
      <c r="G78" s="510"/>
      <c r="H78" s="510"/>
      <c r="I78" s="510"/>
      <c r="J78" s="510"/>
      <c r="K78" s="510"/>
      <c r="L78" s="510"/>
      <c r="M78" s="510"/>
      <c r="N78" s="510"/>
      <c r="O78" s="510"/>
      <c r="P78" s="511"/>
    </row>
    <row r="79" spans="1:23" ht="16.5" hidden="1" customHeight="1">
      <c r="A79" s="139" t="s">
        <v>415</v>
      </c>
      <c r="B79" s="165"/>
      <c r="C79" s="165"/>
      <c r="D79" s="166" t="s">
        <v>37</v>
      </c>
      <c r="E79" s="167"/>
      <c r="F79" s="168" t="s">
        <v>312</v>
      </c>
      <c r="G79" s="169"/>
      <c r="H79" s="169"/>
      <c r="I79" s="166" t="s">
        <v>37</v>
      </c>
      <c r="J79" s="167"/>
      <c r="K79" s="168" t="s">
        <v>312</v>
      </c>
      <c r="L79" s="169"/>
      <c r="M79" s="169"/>
      <c r="N79" s="166" t="s">
        <v>37</v>
      </c>
      <c r="O79" s="167"/>
      <c r="P79" s="170" t="s">
        <v>312</v>
      </c>
    </row>
    <row r="80" spans="1:23" ht="16.5" hidden="1" customHeight="1">
      <c r="A80" s="88" t="s">
        <v>416</v>
      </c>
      <c r="B80" s="171"/>
      <c r="C80" s="171"/>
      <c r="D80" s="124">
        <v>37.36</v>
      </c>
      <c r="E80" s="172">
        <f t="shared" ref="E80:E81" si="30">D80</f>
        <v>37.36</v>
      </c>
      <c r="F80" s="118">
        <f>D80*$D$11</f>
        <v>0</v>
      </c>
      <c r="G80" s="99"/>
      <c r="H80" s="99"/>
      <c r="I80" s="124">
        <v>40.4</v>
      </c>
      <c r="J80" s="173">
        <f t="shared" ref="J80:J81" si="31">I80</f>
        <v>40.4</v>
      </c>
      <c r="K80" s="118">
        <f>I80*$D$11</f>
        <v>0</v>
      </c>
      <c r="L80" s="99"/>
      <c r="M80" s="99"/>
      <c r="N80" s="124">
        <v>19.02</v>
      </c>
      <c r="O80" s="173">
        <f t="shared" ref="O80:O81" si="32">N80</f>
        <v>19.02</v>
      </c>
      <c r="P80" s="118">
        <f>N80*$D$11</f>
        <v>0</v>
      </c>
    </row>
    <row r="81" spans="1:16" ht="16.5" hidden="1" customHeight="1">
      <c r="A81" s="88" t="s">
        <v>417</v>
      </c>
      <c r="B81" s="171"/>
      <c r="C81" s="171"/>
      <c r="D81" s="124">
        <v>0</v>
      </c>
      <c r="E81" s="172">
        <f t="shared" si="30"/>
        <v>0</v>
      </c>
      <c r="F81" s="118">
        <f>D81*$D$11</f>
        <v>0</v>
      </c>
      <c r="G81" s="99"/>
      <c r="H81" s="99"/>
      <c r="I81" s="124">
        <v>0</v>
      </c>
      <c r="J81" s="173">
        <f t="shared" si="31"/>
        <v>0</v>
      </c>
      <c r="K81" s="118">
        <f>I81*$D$11</f>
        <v>0</v>
      </c>
      <c r="L81" s="99"/>
      <c r="M81" s="99"/>
      <c r="N81" s="124">
        <v>0</v>
      </c>
      <c r="O81" s="173">
        <f t="shared" si="32"/>
        <v>0</v>
      </c>
      <c r="P81" s="118">
        <f>N81*$D$11</f>
        <v>0</v>
      </c>
    </row>
    <row r="82" spans="1:16" ht="16.5" hidden="1" customHeight="1">
      <c r="A82" s="151" t="s">
        <v>418</v>
      </c>
      <c r="B82" s="174"/>
      <c r="C82" s="174"/>
      <c r="D82" s="175">
        <f>SUM(D80:D81)</f>
        <v>37.36</v>
      </c>
      <c r="E82" s="176"/>
      <c r="F82" s="175">
        <f>SUM(F80:F81)</f>
        <v>0</v>
      </c>
      <c r="G82" s="177"/>
      <c r="H82" s="177"/>
      <c r="I82" s="175">
        <f>SUM(I80:I81)</f>
        <v>40.4</v>
      </c>
      <c r="J82" s="176"/>
      <c r="K82" s="175">
        <f>SUM(K80:K81)</f>
        <v>0</v>
      </c>
      <c r="L82" s="177"/>
      <c r="M82" s="177"/>
      <c r="N82" s="175">
        <f>SUM(N80:N81)</f>
        <v>19.02</v>
      </c>
      <c r="O82" s="176"/>
      <c r="P82" s="178">
        <f>SUM(P80:P81)</f>
        <v>0</v>
      </c>
    </row>
    <row r="83" spans="1:16" ht="16.5" hidden="1" customHeight="1" thickBot="1">
      <c r="A83" s="155" t="s">
        <v>419</v>
      </c>
      <c r="B83" s="174"/>
      <c r="C83" s="174"/>
      <c r="D83" s="179">
        <f>D82+D75</f>
        <v>37.36</v>
      </c>
      <c r="E83" s="180"/>
      <c r="F83" s="179">
        <f>D83*D11</f>
        <v>0</v>
      </c>
      <c r="G83" s="177"/>
      <c r="H83" s="177"/>
      <c r="I83" s="179">
        <f>I82+I75</f>
        <v>40.4</v>
      </c>
      <c r="J83" s="180"/>
      <c r="K83" s="179">
        <f>I83*I11</f>
        <v>0</v>
      </c>
      <c r="L83" s="177"/>
      <c r="M83" s="177"/>
      <c r="N83" s="179">
        <f>N82+N75</f>
        <v>19.02</v>
      </c>
      <c r="O83" s="180"/>
      <c r="P83" s="181">
        <f>N83*N11</f>
        <v>0</v>
      </c>
    </row>
    <row r="84" spans="1:16" ht="16.5" hidden="1" customHeight="1" thickTop="1" thickBot="1">
      <c r="A84" s="182" t="s">
        <v>476</v>
      </c>
      <c r="B84" s="183"/>
      <c r="C84" s="284"/>
      <c r="D84" s="184">
        <f>(D17-D83)+D62</f>
        <v>-37.36</v>
      </c>
      <c r="E84" s="184"/>
      <c r="F84" s="184">
        <f>D84*D11</f>
        <v>0</v>
      </c>
      <c r="G84" s="185"/>
      <c r="H84" s="185"/>
      <c r="I84" s="184">
        <f>(I17-I83)+I62</f>
        <v>-40.4</v>
      </c>
      <c r="J84" s="184"/>
      <c r="K84" s="184">
        <f>I84*I11</f>
        <v>0</v>
      </c>
      <c r="L84" s="185"/>
      <c r="M84" s="185"/>
      <c r="N84" s="184">
        <f>(N17-N83)+N62</f>
        <v>-19.02</v>
      </c>
      <c r="O84" s="184"/>
      <c r="P84" s="186">
        <f>N84*N11</f>
        <v>0</v>
      </c>
    </row>
    <row r="85" spans="1:16" ht="16.5" hidden="1" customHeight="1">
      <c r="A85" s="187"/>
      <c r="B85" s="79"/>
      <c r="C85" s="79"/>
      <c r="D85" s="188"/>
      <c r="E85" s="188"/>
      <c r="F85" s="189"/>
      <c r="G85" s="188"/>
      <c r="H85" s="188"/>
      <c r="I85" s="188"/>
      <c r="J85" s="188"/>
      <c r="K85" s="189"/>
      <c r="L85" s="188"/>
      <c r="M85" s="188"/>
      <c r="N85" s="188"/>
      <c r="O85" s="188"/>
      <c r="P85" s="190"/>
    </row>
    <row r="86" spans="1:16" ht="16.5" hidden="1" customHeight="1">
      <c r="A86" s="500" t="s">
        <v>265</v>
      </c>
      <c r="B86" s="501"/>
      <c r="C86" s="501"/>
      <c r="D86" s="501"/>
      <c r="E86" s="501"/>
      <c r="F86" s="501"/>
      <c r="G86" s="501"/>
      <c r="H86" s="501"/>
      <c r="I86" s="501"/>
      <c r="J86" s="501"/>
      <c r="K86" s="501"/>
      <c r="L86" s="501"/>
      <c r="M86" s="501"/>
      <c r="N86" s="501"/>
      <c r="O86" s="501"/>
      <c r="P86" s="502"/>
    </row>
    <row r="87" spans="1:16" ht="16.5" hidden="1" customHeight="1">
      <c r="A87" s="191"/>
      <c r="B87" s="192"/>
      <c r="C87" s="192"/>
      <c r="D87" s="193"/>
      <c r="E87" s="506"/>
      <c r="F87" s="507"/>
      <c r="G87" s="192"/>
      <c r="H87" s="192"/>
      <c r="I87" s="193"/>
      <c r="J87" s="506"/>
      <c r="K87" s="507"/>
      <c r="L87" s="192"/>
      <c r="M87" s="192"/>
      <c r="N87" s="193"/>
      <c r="O87" s="506"/>
      <c r="P87" s="508"/>
    </row>
    <row r="88" spans="1:16" ht="16.5" hidden="1" customHeight="1">
      <c r="A88" s="139" t="s">
        <v>263</v>
      </c>
      <c r="B88" s="194"/>
      <c r="C88" s="299">
        <f>(C66-C53-C62-C63)/C17</f>
        <v>0.54574794783772484</v>
      </c>
      <c r="D88" s="195" t="e">
        <f>(D66-D53-D62-D63)/D17</f>
        <v>#DIV/0!</v>
      </c>
      <c r="E88" s="540" t="s">
        <v>268</v>
      </c>
      <c r="F88" s="541"/>
      <c r="G88" s="196"/>
      <c r="H88" s="299">
        <f>(H66-H53-H62-H63)/H17</f>
        <v>0.64429098791555184</v>
      </c>
      <c r="I88" s="195" t="e">
        <f>(I66-I53-I62-I63)/I17</f>
        <v>#DIV/0!</v>
      </c>
      <c r="J88" s="540" t="s">
        <v>268</v>
      </c>
      <c r="K88" s="541"/>
      <c r="L88" s="196"/>
      <c r="M88" s="299">
        <f>(M66-M53-M62-M63)/M17</f>
        <v>0.90968882404107865</v>
      </c>
      <c r="N88" s="195" t="e">
        <f>(N66-N53-N62-N63)/N17</f>
        <v>#DIV/0!</v>
      </c>
      <c r="O88" s="540" t="s">
        <v>268</v>
      </c>
      <c r="P88" s="542"/>
    </row>
    <row r="89" spans="1:16" ht="16.5" hidden="1" customHeight="1">
      <c r="A89" s="36"/>
      <c r="B89" s="197"/>
      <c r="C89" s="295"/>
      <c r="D89" s="198"/>
      <c r="E89" s="543" t="s">
        <v>267</v>
      </c>
      <c r="F89" s="544"/>
      <c r="G89" s="199"/>
      <c r="H89" s="295"/>
      <c r="I89" s="198" t="s">
        <v>264</v>
      </c>
      <c r="J89" s="543" t="s">
        <v>267</v>
      </c>
      <c r="K89" s="544"/>
      <c r="L89" s="199"/>
      <c r="M89" s="295"/>
      <c r="N89" s="198" t="s">
        <v>264</v>
      </c>
      <c r="O89" s="543" t="s">
        <v>267</v>
      </c>
      <c r="P89" s="545"/>
    </row>
    <row r="90" spans="1:16" ht="16.5" hidden="1" customHeight="1">
      <c r="A90" s="36"/>
      <c r="B90" s="197"/>
      <c r="C90" s="296"/>
      <c r="D90" s="200"/>
      <c r="E90" s="546" t="s">
        <v>266</v>
      </c>
      <c r="F90" s="547"/>
      <c r="G90" s="199"/>
      <c r="H90" s="296"/>
      <c r="I90" s="201"/>
      <c r="J90" s="546" t="s">
        <v>266</v>
      </c>
      <c r="K90" s="547"/>
      <c r="L90" s="199"/>
      <c r="M90" s="296"/>
      <c r="N90" s="201"/>
      <c r="O90" s="546" t="s">
        <v>266</v>
      </c>
      <c r="P90" s="548"/>
    </row>
    <row r="91" spans="1:16" ht="16.5" hidden="1" customHeight="1">
      <c r="A91" s="36"/>
      <c r="B91" s="197"/>
      <c r="C91" s="296"/>
      <c r="D91" s="200"/>
      <c r="E91" s="202"/>
      <c r="F91" s="203"/>
      <c r="G91" s="199"/>
      <c r="H91" s="296"/>
      <c r="I91" s="201"/>
      <c r="J91" s="202"/>
      <c r="K91" s="203"/>
      <c r="L91" s="199"/>
      <c r="M91" s="296"/>
      <c r="N91" s="201"/>
      <c r="O91" s="202"/>
      <c r="P91" s="204"/>
    </row>
    <row r="92" spans="1:16" ht="16.5" hidden="1" customHeight="1">
      <c r="A92" s="139" t="s">
        <v>430</v>
      </c>
      <c r="B92" s="165"/>
      <c r="C92" s="300">
        <f>C62/C17</f>
        <v>2.7108508755429098E-3</v>
      </c>
      <c r="D92" s="205" t="e">
        <f>D62/D17</f>
        <v>#DIV/0!</v>
      </c>
      <c r="E92" s="549" t="s">
        <v>431</v>
      </c>
      <c r="F92" s="550"/>
      <c r="G92" s="206"/>
      <c r="H92" s="300">
        <f>H62/H17</f>
        <v>3.8527479724913792E-3</v>
      </c>
      <c r="I92" s="205" t="e">
        <f>I62/I17</f>
        <v>#DIV/0!</v>
      </c>
      <c r="J92" s="549" t="s">
        <v>431</v>
      </c>
      <c r="K92" s="550"/>
      <c r="L92" s="206"/>
      <c r="M92" s="300">
        <f>M62/M17</f>
        <v>3.920798376310596E-3</v>
      </c>
      <c r="N92" s="205" t="e">
        <f>N62/N17</f>
        <v>#DIV/0!</v>
      </c>
      <c r="O92" s="549" t="s">
        <v>431</v>
      </c>
      <c r="P92" s="550"/>
    </row>
    <row r="93" spans="1:16" ht="16.5" hidden="1" customHeight="1">
      <c r="A93" s="36"/>
      <c r="B93" s="207"/>
      <c r="C93" s="297"/>
      <c r="D93" s="208"/>
      <c r="E93" s="538" t="s">
        <v>432</v>
      </c>
      <c r="F93" s="539"/>
      <c r="G93" s="209"/>
      <c r="H93" s="297"/>
      <c r="I93" s="208"/>
      <c r="J93" s="538" t="s">
        <v>432</v>
      </c>
      <c r="K93" s="539"/>
      <c r="L93" s="209"/>
      <c r="M93" s="297"/>
      <c r="N93" s="208"/>
      <c r="O93" s="538" t="s">
        <v>432</v>
      </c>
      <c r="P93" s="539"/>
    </row>
    <row r="94" spans="1:16" ht="16.5" hidden="1" customHeight="1">
      <c r="A94" s="36"/>
      <c r="B94" s="207"/>
      <c r="C94" s="298"/>
      <c r="D94" s="210"/>
      <c r="E94" s="551" t="s">
        <v>433</v>
      </c>
      <c r="F94" s="552"/>
      <c r="G94" s="209"/>
      <c r="H94" s="298"/>
      <c r="I94" s="211"/>
      <c r="J94" s="551" t="s">
        <v>433</v>
      </c>
      <c r="K94" s="552"/>
      <c r="L94" s="209"/>
      <c r="M94" s="298"/>
      <c r="N94" s="211"/>
      <c r="O94" s="551" t="s">
        <v>433</v>
      </c>
      <c r="P94" s="552"/>
    </row>
    <row r="95" spans="1:16" ht="16.5" hidden="1" customHeight="1">
      <c r="A95" s="36"/>
      <c r="B95" s="207"/>
      <c r="C95" s="298"/>
      <c r="D95" s="210"/>
      <c r="E95" s="206"/>
      <c r="F95" s="212"/>
      <c r="G95" s="209"/>
      <c r="H95" s="298"/>
      <c r="I95" s="211"/>
      <c r="J95" s="206"/>
      <c r="K95" s="212"/>
      <c r="L95" s="209"/>
      <c r="M95" s="298"/>
      <c r="N95" s="211"/>
      <c r="O95" s="206"/>
      <c r="P95" s="213"/>
    </row>
    <row r="96" spans="1:16" ht="16.5" hidden="1" customHeight="1">
      <c r="A96" s="139" t="s">
        <v>434</v>
      </c>
      <c r="B96" s="165"/>
      <c r="C96" s="300">
        <f>(C53+C63)/C17</f>
        <v>3.9039004740686466E-2</v>
      </c>
      <c r="D96" s="205" t="e">
        <f>(D53+D63)/D17</f>
        <v>#DIV/0!</v>
      </c>
      <c r="E96" s="549" t="s">
        <v>431</v>
      </c>
      <c r="F96" s="550"/>
      <c r="G96" s="206"/>
      <c r="H96" s="300">
        <f>(H53+H63)/H17</f>
        <v>5.6412341365636935E-2</v>
      </c>
      <c r="I96" s="205" t="e">
        <f>(I53+I63)/I17</f>
        <v>#DIV/0!</v>
      </c>
      <c r="J96" s="549" t="s">
        <v>431</v>
      </c>
      <c r="K96" s="550"/>
      <c r="L96" s="206"/>
      <c r="M96" s="300">
        <f>(M53+M63)/M17</f>
        <v>5.5572079276448076E-2</v>
      </c>
      <c r="N96" s="205" t="e">
        <f>(N53+N63)/N17</f>
        <v>#DIV/0!</v>
      </c>
      <c r="O96" s="549" t="s">
        <v>431</v>
      </c>
      <c r="P96" s="550"/>
    </row>
    <row r="97" spans="1:16" ht="16.5" hidden="1" customHeight="1">
      <c r="A97" s="36"/>
      <c r="B97" s="207"/>
      <c r="C97" s="297"/>
      <c r="D97" s="208"/>
      <c r="E97" s="538" t="s">
        <v>432</v>
      </c>
      <c r="F97" s="539"/>
      <c r="G97" s="209"/>
      <c r="H97" s="297"/>
      <c r="I97" s="208"/>
      <c r="J97" s="538" t="s">
        <v>432</v>
      </c>
      <c r="K97" s="539"/>
      <c r="L97" s="209"/>
      <c r="M97" s="297"/>
      <c r="N97" s="208"/>
      <c r="O97" s="538" t="s">
        <v>432</v>
      </c>
      <c r="P97" s="539"/>
    </row>
    <row r="98" spans="1:16" ht="16.5" hidden="1" customHeight="1">
      <c r="A98" s="36"/>
      <c r="B98" s="207"/>
      <c r="C98" s="298"/>
      <c r="D98" s="210"/>
      <c r="E98" s="551" t="s">
        <v>433</v>
      </c>
      <c r="F98" s="552"/>
      <c r="G98" s="209"/>
      <c r="H98" s="298"/>
      <c r="I98" s="211"/>
      <c r="J98" s="551" t="s">
        <v>433</v>
      </c>
      <c r="K98" s="552"/>
      <c r="L98" s="209"/>
      <c r="M98" s="298"/>
      <c r="N98" s="211"/>
      <c r="O98" s="551" t="s">
        <v>433</v>
      </c>
      <c r="P98" s="552"/>
    </row>
    <row r="99" spans="1:16" ht="16.5" hidden="1" customHeight="1">
      <c r="A99" s="36"/>
      <c r="B99" s="207"/>
      <c r="C99" s="298"/>
      <c r="D99" s="210"/>
      <c r="E99" s="206"/>
      <c r="F99" s="212"/>
      <c r="G99" s="209"/>
      <c r="H99" s="298"/>
      <c r="I99" s="211"/>
      <c r="J99" s="206"/>
      <c r="K99" s="212"/>
      <c r="L99" s="209"/>
      <c r="M99" s="298"/>
      <c r="N99" s="211"/>
      <c r="O99" s="206"/>
      <c r="P99" s="213"/>
    </row>
    <row r="100" spans="1:16" ht="16.5" hidden="1" customHeight="1">
      <c r="A100" s="139" t="s">
        <v>435</v>
      </c>
      <c r="B100" s="165"/>
      <c r="C100" s="300">
        <f>C67/C17</f>
        <v>0.4125021965460457</v>
      </c>
      <c r="D100" s="205" t="e">
        <f>D67/D17</f>
        <v>#DIV/0!</v>
      </c>
      <c r="E100" s="549" t="s">
        <v>436</v>
      </c>
      <c r="F100" s="550"/>
      <c r="G100" s="206"/>
      <c r="H100" s="300">
        <f>H67/H17</f>
        <v>0.29544392274631986</v>
      </c>
      <c r="I100" s="205" t="e">
        <f>I67/I17</f>
        <v>#DIV/0!</v>
      </c>
      <c r="J100" s="549" t="s">
        <v>436</v>
      </c>
      <c r="K100" s="550"/>
      <c r="L100" s="206"/>
      <c r="M100" s="300">
        <f>M67/M17</f>
        <v>3.0818298306162721E-2</v>
      </c>
      <c r="N100" s="205" t="e">
        <f>N67/N17</f>
        <v>#DIV/0!</v>
      </c>
      <c r="O100" s="549" t="s">
        <v>436</v>
      </c>
      <c r="P100" s="550"/>
    </row>
    <row r="101" spans="1:16" ht="16.5" hidden="1" customHeight="1">
      <c r="A101" s="36"/>
      <c r="B101" s="207"/>
      <c r="C101" s="207"/>
      <c r="D101" s="208"/>
      <c r="E101" s="538" t="s">
        <v>437</v>
      </c>
      <c r="F101" s="539"/>
      <c r="G101" s="209"/>
      <c r="H101" s="209"/>
      <c r="I101" s="208"/>
      <c r="J101" s="538" t="s">
        <v>437</v>
      </c>
      <c r="K101" s="539"/>
      <c r="L101" s="209"/>
      <c r="M101" s="209"/>
      <c r="N101" s="208"/>
      <c r="O101" s="538" t="s">
        <v>437</v>
      </c>
      <c r="P101" s="539"/>
    </row>
    <row r="102" spans="1:16" ht="16.5" hidden="1" customHeight="1">
      <c r="A102" s="36" t="s">
        <v>438</v>
      </c>
      <c r="B102" s="207"/>
      <c r="C102" s="207"/>
      <c r="D102" s="210"/>
      <c r="E102" s="551" t="s">
        <v>439</v>
      </c>
      <c r="F102" s="552"/>
      <c r="G102" s="209"/>
      <c r="H102" s="209"/>
      <c r="I102" s="211"/>
      <c r="J102" s="551" t="s">
        <v>439</v>
      </c>
      <c r="K102" s="552"/>
      <c r="L102" s="209"/>
      <c r="M102" s="209"/>
      <c r="N102" s="211"/>
      <c r="O102" s="551" t="s">
        <v>439</v>
      </c>
      <c r="P102" s="552"/>
    </row>
    <row r="103" spans="1:16" ht="16.5" hidden="1" customHeight="1">
      <c r="A103" s="191"/>
      <c r="B103" s="192"/>
      <c r="C103" s="192"/>
      <c r="D103" s="193"/>
      <c r="E103" s="192"/>
      <c r="F103" s="214"/>
      <c r="G103" s="192"/>
      <c r="H103" s="192"/>
      <c r="I103" s="193"/>
      <c r="J103" s="192"/>
      <c r="K103" s="214"/>
      <c r="L103" s="192"/>
      <c r="M103" s="192"/>
      <c r="N103" s="193"/>
      <c r="O103" s="192"/>
      <c r="P103" s="215"/>
    </row>
    <row r="104" spans="1:16" ht="16.5" customHeight="1" thickBot="1">
      <c r="A104" s="503" t="s">
        <v>401</v>
      </c>
      <c r="B104" s="504"/>
      <c r="C104" s="504"/>
      <c r="D104" s="504"/>
      <c r="E104" s="504"/>
      <c r="F104" s="504"/>
      <c r="G104" s="504"/>
      <c r="H104" s="504"/>
      <c r="I104" s="504"/>
      <c r="J104" s="504"/>
      <c r="K104" s="504"/>
      <c r="L104" s="504"/>
      <c r="M104" s="504"/>
      <c r="N104" s="504"/>
      <c r="O104" s="504"/>
      <c r="P104" s="505"/>
    </row>
    <row r="105" spans="1:16" ht="16.5" customHeight="1">
      <c r="A105" s="36"/>
      <c r="B105" s="197"/>
      <c r="C105" s="316"/>
      <c r="D105" s="200"/>
      <c r="E105" s="202"/>
      <c r="F105" s="203"/>
      <c r="G105" s="199"/>
      <c r="H105" s="319"/>
      <c r="I105" s="201"/>
      <c r="J105" s="202"/>
      <c r="K105" s="203"/>
      <c r="L105" s="199"/>
      <c r="M105" s="319"/>
      <c r="N105" s="201"/>
      <c r="O105" s="202"/>
      <c r="P105" s="204"/>
    </row>
    <row r="106" spans="1:16" ht="16.5" customHeight="1">
      <c r="A106" s="139" t="s">
        <v>512</v>
      </c>
      <c r="B106" s="194"/>
      <c r="C106" s="317"/>
      <c r="D106" s="200"/>
      <c r="E106" s="196"/>
      <c r="F106" s="216"/>
      <c r="G106" s="199"/>
      <c r="H106" s="319"/>
      <c r="I106" s="201"/>
      <c r="J106" s="196"/>
      <c r="K106" s="216"/>
      <c r="L106" s="199"/>
      <c r="M106" s="319"/>
      <c r="N106" s="201"/>
      <c r="O106" s="196"/>
      <c r="P106" s="217"/>
    </row>
    <row r="107" spans="1:16" ht="16.5" customHeight="1">
      <c r="A107" s="218" t="s">
        <v>522</v>
      </c>
      <c r="B107" s="192"/>
      <c r="C107" s="292">
        <f>(C66-C62)/C10</f>
        <v>0.1248182664602859</v>
      </c>
      <c r="D107" s="219">
        <f>IFERROR((D66-D62)/D10,0)</f>
        <v>0</v>
      </c>
      <c r="E107" s="220" t="s">
        <v>523</v>
      </c>
      <c r="F107" s="221"/>
      <c r="G107" s="17"/>
      <c r="H107" s="292">
        <f>(H66-H62)/H10</f>
        <v>79.074370709382151</v>
      </c>
      <c r="I107" s="219">
        <f>IFERROR((I66-I62)/I10,0)</f>
        <v>0</v>
      </c>
      <c r="J107" s="220" t="s">
        <v>523</v>
      </c>
      <c r="K107" s="221"/>
      <c r="L107" s="17"/>
      <c r="M107" s="292">
        <f>(M66-M62)/M10</f>
        <v>9.0927577092511012</v>
      </c>
      <c r="N107" s="219">
        <f>IFERROR((N66-N62)/N10,0)</f>
        <v>0</v>
      </c>
      <c r="O107" s="220" t="s">
        <v>523</v>
      </c>
      <c r="P107" s="222"/>
    </row>
    <row r="108" spans="1:16" ht="16.5" customHeight="1">
      <c r="A108" s="218" t="s">
        <v>400</v>
      </c>
      <c r="B108" s="192"/>
      <c r="C108" s="293">
        <f>(C66-C62)/C9</f>
        <v>2023.666666666667</v>
      </c>
      <c r="D108" s="223">
        <f>IFERROR((D66-D62)/D9,0)</f>
        <v>0</v>
      </c>
      <c r="E108" s="224" t="s">
        <v>524</v>
      </c>
      <c r="F108" s="225"/>
      <c r="G108" s="226"/>
      <c r="H108" s="293">
        <f>(H66-H62)/H9</f>
        <v>6.1241470979175903</v>
      </c>
      <c r="I108" s="223">
        <f>IFERROR((I66-I62)/I9,0)</f>
        <v>0</v>
      </c>
      <c r="J108" s="224" t="s">
        <v>524</v>
      </c>
      <c r="K108" s="225"/>
      <c r="L108" s="226"/>
      <c r="M108" s="293">
        <f>(M66-M62)/M9</f>
        <v>273.89278131634819</v>
      </c>
      <c r="N108" s="223">
        <f>IFERROR((N66-N62)/N9,0)</f>
        <v>0</v>
      </c>
      <c r="O108" s="224" t="s">
        <v>524</v>
      </c>
      <c r="P108" s="227"/>
    </row>
    <row r="109" spans="1:16" ht="8.1" customHeight="1">
      <c r="A109" s="228"/>
      <c r="B109" s="192"/>
      <c r="C109" s="293"/>
      <c r="D109" s="223"/>
      <c r="E109" s="226"/>
      <c r="F109" s="225"/>
      <c r="G109" s="226"/>
      <c r="H109" s="293"/>
      <c r="I109" s="223"/>
      <c r="J109" s="226"/>
      <c r="K109" s="225"/>
      <c r="L109" s="226"/>
      <c r="M109" s="293"/>
      <c r="N109" s="223"/>
      <c r="O109" s="226"/>
      <c r="P109" s="227"/>
    </row>
    <row r="110" spans="1:16" ht="16.5" customHeight="1">
      <c r="A110" s="139" t="s">
        <v>513</v>
      </c>
      <c r="B110" s="229"/>
      <c r="C110" s="294"/>
      <c r="D110" s="230"/>
      <c r="E110" s="231"/>
      <c r="F110" s="232"/>
      <c r="G110" s="231"/>
      <c r="H110" s="294"/>
      <c r="I110" s="230"/>
      <c r="J110" s="231"/>
      <c r="K110" s="232"/>
      <c r="L110" s="231"/>
      <c r="M110" s="294"/>
      <c r="N110" s="230"/>
      <c r="O110" s="231"/>
      <c r="P110" s="233"/>
    </row>
    <row r="111" spans="1:16" ht="16.5" customHeight="1">
      <c r="A111" s="218" t="s">
        <v>522</v>
      </c>
      <c r="B111" s="192"/>
      <c r="C111" s="292">
        <f>(C75-C62)/C10</f>
        <v>0.1248182664602859</v>
      </c>
      <c r="D111" s="219">
        <f>IFERROR((D75-D62)/D10,0)</f>
        <v>0</v>
      </c>
      <c r="E111" s="220" t="s">
        <v>523</v>
      </c>
      <c r="F111" s="225"/>
      <c r="G111" s="226"/>
      <c r="H111" s="292">
        <f>(H75-H62)/H10</f>
        <v>79.074370709382151</v>
      </c>
      <c r="I111" s="219">
        <f>IFERROR((I75-I62)/I10,0)</f>
        <v>0</v>
      </c>
      <c r="J111" s="220" t="s">
        <v>443</v>
      </c>
      <c r="K111" s="225"/>
      <c r="L111" s="226"/>
      <c r="M111" s="292">
        <f>(M75-M62)/M10</f>
        <v>9.0927577092511012</v>
      </c>
      <c r="N111" s="219">
        <f>IFERROR((N75-N62)/N10,0)</f>
        <v>0</v>
      </c>
      <c r="O111" s="220" t="s">
        <v>523</v>
      </c>
      <c r="P111" s="227"/>
    </row>
    <row r="112" spans="1:16" ht="16.5" customHeight="1">
      <c r="A112" s="218" t="s">
        <v>400</v>
      </c>
      <c r="B112" s="192"/>
      <c r="C112" s="293">
        <f>(C75-C62)/C9</f>
        <v>2023.666666666667</v>
      </c>
      <c r="D112" s="223">
        <f>IFERROR((D75-D62)/D9,0)</f>
        <v>0</v>
      </c>
      <c r="E112" s="224" t="s">
        <v>524</v>
      </c>
      <c r="F112" s="225"/>
      <c r="G112" s="226"/>
      <c r="H112" s="293">
        <f>(H75-H62)/H9</f>
        <v>6.1241470979175903</v>
      </c>
      <c r="I112" s="223">
        <f>IFERROR((I75-I62)/I9,0)</f>
        <v>0</v>
      </c>
      <c r="J112" s="224" t="s">
        <v>524</v>
      </c>
      <c r="K112" s="225"/>
      <c r="L112" s="226"/>
      <c r="M112" s="293">
        <f>(M75-M62)/M9</f>
        <v>273.89278131634819</v>
      </c>
      <c r="N112" s="223">
        <f>IFERROR((N75-N62)/N9,0)</f>
        <v>0</v>
      </c>
      <c r="O112" s="224" t="s">
        <v>524</v>
      </c>
      <c r="P112" s="227"/>
    </row>
    <row r="113" spans="1:16" ht="8.1" customHeight="1">
      <c r="A113" s="228"/>
      <c r="B113" s="192"/>
      <c r="C113" s="293"/>
      <c r="D113" s="223"/>
      <c r="E113" s="226"/>
      <c r="F113" s="225"/>
      <c r="G113" s="226"/>
      <c r="H113" s="293"/>
      <c r="I113" s="223"/>
      <c r="J113" s="226"/>
      <c r="K113" s="225"/>
      <c r="L113" s="226"/>
      <c r="M113" s="293"/>
      <c r="N113" s="223"/>
      <c r="O113" s="226"/>
      <c r="P113" s="227"/>
    </row>
    <row r="114" spans="1:16" ht="16.5" hidden="1" customHeight="1">
      <c r="A114" s="139" t="s">
        <v>398</v>
      </c>
      <c r="B114" s="229"/>
      <c r="C114" s="294"/>
      <c r="D114" s="230"/>
      <c r="E114" s="231"/>
      <c r="F114" s="232"/>
      <c r="G114" s="231"/>
      <c r="H114" s="294"/>
      <c r="I114" s="230"/>
      <c r="J114" s="231"/>
      <c r="K114" s="232"/>
      <c r="L114" s="231"/>
      <c r="M114" s="294"/>
      <c r="N114" s="230"/>
      <c r="O114" s="231"/>
      <c r="P114" s="233"/>
    </row>
    <row r="115" spans="1:16" ht="16.5" hidden="1" customHeight="1">
      <c r="A115" s="218" t="s">
        <v>442</v>
      </c>
      <c r="B115" s="192"/>
      <c r="C115" s="292">
        <f>(C66+C74)/C10</f>
        <v>0.12539687667965849</v>
      </c>
      <c r="D115" s="219" t="e">
        <f>(D66+D74)/D10</f>
        <v>#DIV/0!</v>
      </c>
      <c r="E115" s="220" t="s">
        <v>443</v>
      </c>
      <c r="F115" s="225"/>
      <c r="G115" s="226"/>
      <c r="H115" s="292">
        <f>(H66+H74)/H10</f>
        <v>79.509153318077793</v>
      </c>
      <c r="I115" s="219" t="e">
        <f>(I66+I74)/I10</f>
        <v>#DIV/0!</v>
      </c>
      <c r="J115" s="220" t="s">
        <v>443</v>
      </c>
      <c r="K115" s="225"/>
      <c r="L115" s="226"/>
      <c r="M115" s="292">
        <f>(M66+M74)/M10</f>
        <v>9.1296916299559481</v>
      </c>
      <c r="N115" s="219" t="e">
        <f>(N66+N74)/N10</f>
        <v>#DIV/0!</v>
      </c>
      <c r="O115" s="220" t="s">
        <v>443</v>
      </c>
      <c r="P115" s="227"/>
    </row>
    <row r="116" spans="1:16" ht="16.5" hidden="1" customHeight="1">
      <c r="A116" s="218" t="s">
        <v>400</v>
      </c>
      <c r="B116" s="192"/>
      <c r="C116" s="293">
        <f>(C66+C74)/C9</f>
        <v>2033.0476190476195</v>
      </c>
      <c r="D116" s="223" t="e">
        <f>(D66+D74)/D9</f>
        <v>#DIV/0!</v>
      </c>
      <c r="E116" s="224" t="s">
        <v>4</v>
      </c>
      <c r="F116" s="225"/>
      <c r="G116" s="226"/>
      <c r="H116" s="293">
        <f>(H66+H74)/H9</f>
        <v>6.1578201151971648</v>
      </c>
      <c r="I116" s="223" t="e">
        <f>(I66+I74)/I9</f>
        <v>#DIV/0!</v>
      </c>
      <c r="J116" s="224" t="s">
        <v>4</v>
      </c>
      <c r="K116" s="225"/>
      <c r="L116" s="226"/>
      <c r="M116" s="293">
        <f>(M66+M74)/M9</f>
        <v>275.00530785562637</v>
      </c>
      <c r="N116" s="223" t="e">
        <f>(N66+N74)/N9</f>
        <v>#DIV/0!</v>
      </c>
      <c r="O116" s="224" t="s">
        <v>4</v>
      </c>
      <c r="P116" s="227"/>
    </row>
    <row r="117" spans="1:16" ht="6.75" hidden="1" customHeight="1">
      <c r="A117" s="228"/>
      <c r="B117" s="37"/>
      <c r="C117" s="37"/>
      <c r="D117" s="234"/>
      <c r="E117" s="235"/>
      <c r="F117" s="236"/>
      <c r="G117" s="235"/>
      <c r="H117" s="37"/>
      <c r="I117" s="234"/>
      <c r="J117" s="235"/>
      <c r="K117" s="236"/>
      <c r="L117" s="235"/>
      <c r="M117" s="37"/>
      <c r="N117" s="234"/>
      <c r="O117" s="235"/>
      <c r="P117" s="237"/>
    </row>
    <row r="118" spans="1:16" ht="16.5" hidden="1" customHeight="1">
      <c r="A118" s="139" t="s">
        <v>420</v>
      </c>
      <c r="B118" s="238"/>
      <c r="C118" s="238"/>
      <c r="D118" s="239"/>
      <c r="E118" s="240"/>
      <c r="F118" s="241"/>
      <c r="G118" s="240"/>
      <c r="H118" s="238"/>
      <c r="I118" s="239"/>
      <c r="J118" s="240"/>
      <c r="K118" s="241"/>
      <c r="L118" s="240"/>
      <c r="M118" s="238"/>
      <c r="N118" s="239"/>
      <c r="O118" s="240"/>
      <c r="P118" s="242"/>
    </row>
    <row r="119" spans="1:16" ht="16.5" hidden="1" customHeight="1">
      <c r="A119" s="218" t="s">
        <v>399</v>
      </c>
      <c r="B119" s="37"/>
      <c r="C119" s="37"/>
      <c r="D119" s="243" t="e">
        <f>D83/D10</f>
        <v>#DIV/0!</v>
      </c>
      <c r="E119" s="235"/>
      <c r="F119" s="236"/>
      <c r="G119" s="235"/>
      <c r="H119" s="37"/>
      <c r="I119" s="243" t="e">
        <f>I83/I10</f>
        <v>#DIV/0!</v>
      </c>
      <c r="J119" s="235"/>
      <c r="K119" s="236"/>
      <c r="L119" s="235"/>
      <c r="M119" s="37"/>
      <c r="N119" s="243" t="e">
        <f>N83/N10</f>
        <v>#DIV/0!</v>
      </c>
      <c r="O119" s="235"/>
      <c r="P119" s="237"/>
    </row>
    <row r="120" spans="1:16" ht="16.5" hidden="1" customHeight="1">
      <c r="A120" s="218" t="s">
        <v>400</v>
      </c>
      <c r="B120" s="37"/>
      <c r="C120" s="37"/>
      <c r="D120" s="234" t="e">
        <f>D83/D9</f>
        <v>#DIV/0!</v>
      </c>
      <c r="E120" s="235"/>
      <c r="F120" s="236"/>
      <c r="G120" s="235"/>
      <c r="H120" s="235"/>
      <c r="I120" s="234" t="e">
        <f>I83/I9</f>
        <v>#DIV/0!</v>
      </c>
      <c r="J120" s="235"/>
      <c r="K120" s="236"/>
      <c r="L120" s="235"/>
      <c r="M120" s="235"/>
      <c r="N120" s="234" t="e">
        <f>N83/N9</f>
        <v>#DIV/0!</v>
      </c>
      <c r="O120" s="235"/>
      <c r="P120" s="237"/>
    </row>
    <row r="121" spans="1:16" ht="16.5" customHeight="1" thickBot="1">
      <c r="A121" s="311"/>
      <c r="B121" s="312"/>
      <c r="C121" s="318"/>
      <c r="D121" s="313"/>
      <c r="E121" s="312"/>
      <c r="F121" s="314"/>
      <c r="G121" s="312"/>
      <c r="H121" s="318"/>
      <c r="I121" s="313"/>
      <c r="J121" s="312"/>
      <c r="K121" s="314"/>
      <c r="L121" s="312"/>
      <c r="M121" s="318"/>
      <c r="N121" s="313"/>
      <c r="O121" s="312"/>
      <c r="P121" s="315"/>
    </row>
    <row r="122" spans="1:16" ht="16.5" hidden="1" customHeight="1">
      <c r="A122" s="500" t="s">
        <v>262</v>
      </c>
      <c r="B122" s="501"/>
      <c r="C122" s="501"/>
      <c r="D122" s="501"/>
      <c r="E122" s="501"/>
      <c r="F122" s="501"/>
      <c r="G122" s="501"/>
      <c r="H122" s="501"/>
      <c r="I122" s="501"/>
      <c r="J122" s="501"/>
      <c r="K122" s="501"/>
      <c r="L122" s="501"/>
      <c r="M122" s="501"/>
      <c r="N122" s="501"/>
      <c r="O122" s="501"/>
      <c r="P122" s="502"/>
    </row>
    <row r="123" spans="1:16" ht="16.5" hidden="1" customHeight="1">
      <c r="A123" s="244"/>
      <c r="B123" s="245"/>
      <c r="C123" s="245"/>
      <c r="D123" s="193"/>
      <c r="E123" s="192"/>
      <c r="F123" s="214"/>
      <c r="G123" s="192"/>
      <c r="H123" s="192"/>
      <c r="I123" s="193"/>
      <c r="J123" s="192"/>
      <c r="K123" s="214"/>
      <c r="L123" s="192"/>
      <c r="M123" s="192"/>
      <c r="N123" s="193"/>
      <c r="O123" s="192"/>
      <c r="P123" s="215"/>
    </row>
    <row r="124" spans="1:16" ht="16.5" hidden="1" customHeight="1">
      <c r="A124" s="244" t="s">
        <v>272</v>
      </c>
      <c r="B124" s="245"/>
      <c r="C124" s="245"/>
      <c r="D124" s="246" t="s">
        <v>53</v>
      </c>
      <c r="E124" s="246" t="s">
        <v>54</v>
      </c>
      <c r="F124" s="246" t="s">
        <v>55</v>
      </c>
      <c r="G124" s="247"/>
      <c r="H124" s="247"/>
      <c r="I124" s="246" t="s">
        <v>53</v>
      </c>
      <c r="J124" s="246" t="s">
        <v>54</v>
      </c>
      <c r="K124" s="246" t="s">
        <v>55</v>
      </c>
      <c r="L124" s="247"/>
      <c r="M124" s="247"/>
      <c r="N124" s="246" t="s">
        <v>53</v>
      </c>
      <c r="O124" s="246" t="s">
        <v>54</v>
      </c>
      <c r="P124" s="248" t="s">
        <v>55</v>
      </c>
    </row>
    <row r="125" spans="1:16" ht="16.5" hidden="1" customHeight="1">
      <c r="A125" s="249" t="s">
        <v>273</v>
      </c>
      <c r="B125" s="250"/>
      <c r="C125" s="250"/>
      <c r="D125" s="251">
        <f>45*D10</f>
        <v>0</v>
      </c>
      <c r="E125" s="251">
        <f>13*D10</f>
        <v>0</v>
      </c>
      <c r="F125" s="251">
        <f>50*D10</f>
        <v>0</v>
      </c>
      <c r="G125" s="252"/>
      <c r="H125" s="252"/>
      <c r="I125" s="253">
        <f>I$10*((45*0.65)+(45*0.35))</f>
        <v>0</v>
      </c>
      <c r="J125" s="253">
        <f>I$10*((13*0.65)+(17*0.35))</f>
        <v>0</v>
      </c>
      <c r="K125" s="253">
        <f>I$10*((50*0.65)+(62*0.35))</f>
        <v>0</v>
      </c>
      <c r="L125" s="252"/>
      <c r="M125" s="252"/>
      <c r="N125" s="253">
        <f>(45*$N$10)</f>
        <v>0</v>
      </c>
      <c r="O125" s="253">
        <f>(17*$N$10)</f>
        <v>0</v>
      </c>
      <c r="P125" s="256">
        <f>(62*$N$10)</f>
        <v>0</v>
      </c>
    </row>
    <row r="126" spans="1:16" ht="16.5" hidden="1" customHeight="1">
      <c r="A126" s="39"/>
      <c r="D126" s="254" t="s">
        <v>56</v>
      </c>
      <c r="E126" s="254" t="s">
        <v>57</v>
      </c>
      <c r="F126" s="254" t="s">
        <v>176</v>
      </c>
      <c r="G126" s="8"/>
      <c r="H126" s="8"/>
      <c r="I126" s="254" t="s">
        <v>56</v>
      </c>
      <c r="J126" s="254" t="s">
        <v>57</v>
      </c>
      <c r="K126" s="255" t="s">
        <v>176</v>
      </c>
      <c r="L126" s="8"/>
      <c r="M126" s="8"/>
      <c r="N126" s="254" t="s">
        <v>56</v>
      </c>
      <c r="O126" s="254" t="s">
        <v>57</v>
      </c>
      <c r="P126" s="255" t="s">
        <v>176</v>
      </c>
    </row>
    <row r="127" spans="1:16" ht="16.5" hidden="1" customHeight="1">
      <c r="A127" s="281" t="s">
        <v>484</v>
      </c>
      <c r="D127" s="251"/>
      <c r="E127" s="251"/>
      <c r="F127" s="251"/>
      <c r="G127" s="252"/>
      <c r="H127" s="252"/>
      <c r="I127" s="253"/>
      <c r="J127" s="253"/>
      <c r="K127" s="256"/>
      <c r="L127" s="252"/>
      <c r="M127" s="252"/>
      <c r="N127" s="253"/>
      <c r="O127" s="253"/>
      <c r="P127" s="256"/>
    </row>
    <row r="128" spans="1:16" ht="16.5" hidden="1" customHeight="1">
      <c r="A128" s="39"/>
      <c r="D128" s="254" t="s">
        <v>58</v>
      </c>
      <c r="E128" s="254" t="s">
        <v>59</v>
      </c>
      <c r="F128" s="254" t="s">
        <v>60</v>
      </c>
      <c r="G128" s="8"/>
      <c r="H128" s="8"/>
      <c r="I128" s="254" t="s">
        <v>58</v>
      </c>
      <c r="J128" s="254" t="s">
        <v>59</v>
      </c>
      <c r="K128" s="255" t="s">
        <v>60</v>
      </c>
      <c r="L128" s="8"/>
      <c r="M128" s="8"/>
      <c r="N128" s="254" t="s">
        <v>58</v>
      </c>
      <c r="O128" s="254" t="s">
        <v>59</v>
      </c>
      <c r="P128" s="255" t="s">
        <v>60</v>
      </c>
    </row>
    <row r="129" spans="1:16" ht="16.5" hidden="1" customHeight="1">
      <c r="A129" s="39"/>
      <c r="D129" s="257"/>
      <c r="E129" s="257"/>
      <c r="F129" s="257"/>
      <c r="G129" s="305"/>
      <c r="H129" s="306"/>
      <c r="I129" s="257"/>
      <c r="J129" s="257"/>
      <c r="K129" s="258"/>
      <c r="L129" s="305"/>
      <c r="M129" s="306"/>
      <c r="N129" s="257"/>
      <c r="O129" s="257"/>
      <c r="P129" s="258"/>
    </row>
    <row r="130" spans="1:16" ht="16.5" hidden="1" customHeight="1" thickBot="1">
      <c r="A130" s="259"/>
      <c r="B130" s="260"/>
      <c r="C130" s="260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2"/>
    </row>
    <row r="131" spans="1:16" hidden="1">
      <c r="A131" s="553" t="s">
        <v>445</v>
      </c>
      <c r="B131" s="554"/>
      <c r="C131" s="554"/>
      <c r="D131" s="554"/>
      <c r="E131" s="554"/>
      <c r="F131" s="554"/>
      <c r="G131" s="554"/>
      <c r="H131" s="554"/>
      <c r="I131" s="554"/>
      <c r="J131" s="554"/>
      <c r="K131" s="554"/>
      <c r="L131" s="554"/>
      <c r="M131" s="554"/>
      <c r="N131" s="554"/>
      <c r="O131" s="554"/>
      <c r="P131" s="555"/>
    </row>
    <row r="132" spans="1:16" hidden="1">
      <c r="A132" s="39"/>
      <c r="P132" s="40"/>
    </row>
    <row r="133" spans="1:16" hidden="1">
      <c r="A133" s="39"/>
      <c r="P133" s="40"/>
    </row>
    <row r="134" spans="1:16" hidden="1">
      <c r="A134" s="39"/>
      <c r="P134" s="40"/>
    </row>
    <row r="135" spans="1:16" hidden="1">
      <c r="A135" s="39"/>
      <c r="P135" s="40"/>
    </row>
    <row r="136" spans="1:16" hidden="1">
      <c r="A136" s="39"/>
      <c r="P136" s="40"/>
    </row>
    <row r="137" spans="1:16" hidden="1">
      <c r="A137" s="39"/>
      <c r="P137" s="40"/>
    </row>
    <row r="138" spans="1:16" hidden="1">
      <c r="A138" s="4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42"/>
    </row>
    <row r="139" spans="1:16" hidden="1">
      <c r="A139" s="39"/>
      <c r="P139" s="40"/>
    </row>
    <row r="140" spans="1:16" hidden="1">
      <c r="A140" s="39"/>
      <c r="P140" s="40"/>
    </row>
    <row r="141" spans="1:16" hidden="1">
      <c r="A141" s="39"/>
      <c r="P141" s="40"/>
    </row>
    <row r="142" spans="1:16" hidden="1">
      <c r="A142" s="39"/>
      <c r="P142" s="40"/>
    </row>
    <row r="143" spans="1:16" hidden="1">
      <c r="A143" s="39"/>
      <c r="P143" s="40"/>
    </row>
    <row r="144" spans="1:16" hidden="1">
      <c r="A144" s="39"/>
      <c r="P144" s="40"/>
    </row>
    <row r="145" spans="1:16" hidden="1">
      <c r="A145" s="39"/>
      <c r="P145" s="40"/>
    </row>
    <row r="146" spans="1:16" hidden="1">
      <c r="A146" s="39"/>
      <c r="P146" s="40"/>
    </row>
    <row r="147" spans="1:16" hidden="1">
      <c r="A147" s="39"/>
      <c r="P147" s="40"/>
    </row>
    <row r="148" spans="1:16" hidden="1">
      <c r="A148" s="39"/>
      <c r="P148" s="40"/>
    </row>
    <row r="149" spans="1:16" hidden="1">
      <c r="A149" s="39"/>
      <c r="P149" s="40"/>
    </row>
    <row r="150" spans="1:16" hidden="1">
      <c r="A150" s="39"/>
      <c r="P150" s="40"/>
    </row>
    <row r="151" spans="1:16" hidden="1">
      <c r="A151" s="39"/>
      <c r="P151" s="40"/>
    </row>
    <row r="152" spans="1:16" hidden="1">
      <c r="A152" s="39"/>
      <c r="P152" s="40"/>
    </row>
    <row r="153" spans="1:16" hidden="1">
      <c r="A153" s="39"/>
      <c r="P153" s="40"/>
    </row>
    <row r="154" spans="1:16" hidden="1">
      <c r="A154" s="39"/>
      <c r="P154" s="40"/>
    </row>
    <row r="155" spans="1:16" hidden="1">
      <c r="A155" s="39"/>
      <c r="P155" s="40"/>
    </row>
    <row r="156" spans="1:16" hidden="1">
      <c r="A156" s="39"/>
      <c r="P156" s="40"/>
    </row>
    <row r="157" spans="1:16" hidden="1">
      <c r="A157" s="39"/>
      <c r="P157" s="40"/>
    </row>
    <row r="158" spans="1:16" hidden="1">
      <c r="A158" s="39"/>
      <c r="P158" s="40"/>
    </row>
    <row r="159" spans="1:16" hidden="1">
      <c r="A159" s="39"/>
      <c r="P159" s="40"/>
    </row>
    <row r="160" spans="1:16" hidden="1">
      <c r="A160" s="39"/>
      <c r="P160" s="40"/>
    </row>
    <row r="161" spans="1:16" hidden="1">
      <c r="A161" s="39"/>
      <c r="P161" s="40"/>
    </row>
    <row r="162" spans="1:16" hidden="1">
      <c r="A162" s="39"/>
      <c r="P162" s="40"/>
    </row>
    <row r="163" spans="1:16" hidden="1">
      <c r="A163" s="39"/>
      <c r="P163" s="40"/>
    </row>
    <row r="164" spans="1:16" hidden="1">
      <c r="A164" s="39"/>
      <c r="P164" s="40"/>
    </row>
    <row r="165" spans="1:16" hidden="1">
      <c r="A165" s="39"/>
      <c r="P165" s="40"/>
    </row>
    <row r="166" spans="1:16" hidden="1">
      <c r="A166" s="39"/>
      <c r="P166" s="40"/>
    </row>
    <row r="167" spans="1:16" hidden="1">
      <c r="A167" s="39"/>
      <c r="P167" s="40"/>
    </row>
    <row r="168" spans="1:16" hidden="1">
      <c r="A168" s="39"/>
      <c r="P168" s="40"/>
    </row>
    <row r="169" spans="1:16" hidden="1">
      <c r="A169" s="39"/>
      <c r="P169" s="40"/>
    </row>
    <row r="170" spans="1:16" hidden="1">
      <c r="A170" s="39"/>
      <c r="P170" s="40"/>
    </row>
    <row r="171" spans="1:16" hidden="1">
      <c r="A171" s="39"/>
      <c r="P171" s="40"/>
    </row>
    <row r="172" spans="1:16" hidden="1">
      <c r="A172" s="39"/>
      <c r="P172" s="40"/>
    </row>
    <row r="173" spans="1:16" hidden="1">
      <c r="A173" s="39"/>
      <c r="P173" s="40"/>
    </row>
    <row r="174" spans="1:16" hidden="1">
      <c r="A174" s="39"/>
      <c r="P174" s="40"/>
    </row>
    <row r="175" spans="1:16" hidden="1">
      <c r="A175" s="39"/>
      <c r="P175" s="40"/>
    </row>
    <row r="176" spans="1:16" hidden="1">
      <c r="A176" s="39"/>
      <c r="P176" s="40"/>
    </row>
    <row r="177" spans="1:16" hidden="1">
      <c r="A177" s="39"/>
      <c r="P177" s="40"/>
    </row>
    <row r="178" spans="1:16" hidden="1">
      <c r="A178" s="39"/>
      <c r="P178" s="40"/>
    </row>
    <row r="179" spans="1:16" hidden="1">
      <c r="A179" s="39"/>
      <c r="P179" s="40"/>
    </row>
    <row r="180" spans="1:16" hidden="1">
      <c r="A180" s="39"/>
      <c r="P180" s="40"/>
    </row>
    <row r="181" spans="1:16" hidden="1">
      <c r="A181" s="39"/>
      <c r="P181" s="40"/>
    </row>
    <row r="182" spans="1:16" hidden="1">
      <c r="A182" s="39"/>
      <c r="P182" s="40"/>
    </row>
    <row r="183" spans="1:16" hidden="1">
      <c r="A183" s="39"/>
      <c r="P183" s="40"/>
    </row>
    <row r="184" spans="1:16" hidden="1">
      <c r="A184" s="39"/>
      <c r="P184" s="40"/>
    </row>
    <row r="185" spans="1:16" hidden="1">
      <c r="A185" s="39"/>
      <c r="P185" s="40"/>
    </row>
    <row r="186" spans="1:16" hidden="1">
      <c r="A186" s="39"/>
      <c r="P186" s="40"/>
    </row>
    <row r="187" spans="1:16" hidden="1">
      <c r="A187" s="39"/>
      <c r="P187" s="40"/>
    </row>
    <row r="188" spans="1:16" hidden="1">
      <c r="A188" s="39"/>
      <c r="P188" s="40"/>
    </row>
    <row r="189" spans="1:16" hidden="1">
      <c r="A189" s="39"/>
      <c r="P189" s="40"/>
    </row>
    <row r="190" spans="1:16" ht="19.5" hidden="1" thickBot="1">
      <c r="A190" s="43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5"/>
    </row>
    <row r="192" spans="1:16">
      <c r="A192" s="419" t="s">
        <v>533</v>
      </c>
    </row>
    <row r="193" spans="1:1">
      <c r="A193" s="419" t="s">
        <v>534</v>
      </c>
    </row>
  </sheetData>
  <sortState xmlns:xlrd2="http://schemas.microsoft.com/office/spreadsheetml/2017/richdata2" ref="AA6:AA11">
    <sortCondition ref="AA6"/>
  </sortState>
  <mergeCells count="65">
    <mergeCell ref="A131:P131"/>
    <mergeCell ref="E102:F102"/>
    <mergeCell ref="J102:K102"/>
    <mergeCell ref="O102:P102"/>
    <mergeCell ref="E100:F100"/>
    <mergeCell ref="J100:K100"/>
    <mergeCell ref="O100:P100"/>
    <mergeCell ref="E101:F101"/>
    <mergeCell ref="J101:K101"/>
    <mergeCell ref="O101:P101"/>
    <mergeCell ref="A122:P122"/>
    <mergeCell ref="A104:P104"/>
    <mergeCell ref="E97:F97"/>
    <mergeCell ref="J97:K97"/>
    <mergeCell ref="O97:P97"/>
    <mergeCell ref="E98:F98"/>
    <mergeCell ref="J98:K98"/>
    <mergeCell ref="O98:P98"/>
    <mergeCell ref="E94:F94"/>
    <mergeCell ref="J94:K94"/>
    <mergeCell ref="O94:P94"/>
    <mergeCell ref="E96:F96"/>
    <mergeCell ref="J96:K96"/>
    <mergeCell ref="O96:P96"/>
    <mergeCell ref="O93:P93"/>
    <mergeCell ref="E93:F93"/>
    <mergeCell ref="J93:K93"/>
    <mergeCell ref="E88:F88"/>
    <mergeCell ref="J88:K88"/>
    <mergeCell ref="O88:P88"/>
    <mergeCell ref="E89:F89"/>
    <mergeCell ref="J89:K89"/>
    <mergeCell ref="O89:P89"/>
    <mergeCell ref="E90:F90"/>
    <mergeCell ref="J90:K90"/>
    <mergeCell ref="O90:P90"/>
    <mergeCell ref="E92:F92"/>
    <mergeCell ref="J92:K92"/>
    <mergeCell ref="O92:P92"/>
    <mergeCell ref="A1:P3"/>
    <mergeCell ref="D5:F5"/>
    <mergeCell ref="I5:K5"/>
    <mergeCell ref="N5:P5"/>
    <mergeCell ref="R20:W20"/>
    <mergeCell ref="A16:A17"/>
    <mergeCell ref="D6:F6"/>
    <mergeCell ref="I6:K6"/>
    <mergeCell ref="N6:P6"/>
    <mergeCell ref="B16:B17"/>
    <mergeCell ref="R7:X8"/>
    <mergeCell ref="R13:X13"/>
    <mergeCell ref="R15:X15"/>
    <mergeCell ref="R14:X14"/>
    <mergeCell ref="R66:V69"/>
    <mergeCell ref="R40:W40"/>
    <mergeCell ref="R46:V48"/>
    <mergeCell ref="R55:W55"/>
    <mergeCell ref="R50:V53"/>
    <mergeCell ref="R61:V63"/>
    <mergeCell ref="A86:P86"/>
    <mergeCell ref="A69:P69"/>
    <mergeCell ref="E87:F87"/>
    <mergeCell ref="J87:K87"/>
    <mergeCell ref="O87:P87"/>
    <mergeCell ref="A78:P78"/>
  </mergeCells>
  <conditionalFormatting sqref="E21:E54">
    <cfRule type="dataBar" priority="57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{6D413951-AAE0-4196-AECE-5FF3FA54F37C}</x14:id>
        </ext>
      </extLst>
    </cfRule>
  </conditionalFormatting>
  <conditionalFormatting sqref="E59:E64">
    <cfRule type="dataBar" priority="56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{9993D0C6-0C65-4F75-B058-F80DD596396F}</x14:id>
        </ext>
      </extLst>
    </cfRule>
  </conditionalFormatting>
  <conditionalFormatting sqref="E71:E73">
    <cfRule type="dataBar" priority="56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{8C99DA2D-1C69-4732-AAC9-0D9A0A4271F5}</x14:id>
        </ext>
      </extLst>
    </cfRule>
  </conditionalFormatting>
  <conditionalFormatting sqref="E80:E81">
    <cfRule type="dataBar" priority="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{D1F30E09-E34D-451F-899C-E15D95A8185E}</x14:id>
        </ext>
      </extLst>
    </cfRule>
  </conditionalFormatting>
  <conditionalFormatting sqref="J21:J54">
    <cfRule type="dataBar" priority="57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{FE3F7056-E9FE-46DF-8C93-9FFBF34CDFA6}</x14:id>
        </ext>
      </extLst>
    </cfRule>
  </conditionalFormatting>
  <conditionalFormatting sqref="J59:J64">
    <cfRule type="dataBar" priority="569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{40F910F6-5BC3-4E41-81E0-08BA9D288CFA}</x14:id>
        </ext>
      </extLst>
    </cfRule>
  </conditionalFormatting>
  <conditionalFormatting sqref="J71:J73">
    <cfRule type="dataBar" priority="56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{DB22D3F5-B5C8-4656-8F7E-87096E9C4053}</x14:id>
        </ext>
      </extLst>
    </cfRule>
  </conditionalFormatting>
  <conditionalFormatting sqref="J80:J81">
    <cfRule type="dataBar" priority="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{B57EE0D2-655D-4A96-BC27-B8984DFD9925}</x14:id>
        </ext>
      </extLst>
    </cfRule>
  </conditionalFormatting>
  <conditionalFormatting sqref="O21:O54">
    <cfRule type="dataBar" priority="57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{9E8095D2-1559-4834-9FBE-10D1412FD1B2}</x14:id>
        </ext>
      </extLst>
    </cfRule>
  </conditionalFormatting>
  <conditionalFormatting sqref="O59:O64">
    <cfRule type="dataBar" priority="571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{95BF0A9E-034C-42E3-A8B8-B9ACF3BBF1AD}</x14:id>
        </ext>
      </extLst>
    </cfRule>
  </conditionalFormatting>
  <conditionalFormatting sqref="O71:O73">
    <cfRule type="dataBar" priority="56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{8971F378-046D-4B4A-B892-CA4574C5C003}</x14:id>
        </ext>
      </extLst>
    </cfRule>
  </conditionalFormatting>
  <conditionalFormatting sqref="O80:O81">
    <cfRule type="dataBar" priority="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{102731EB-B4E9-4495-9E4C-C9626C636BEE}</x14:id>
        </ext>
      </extLst>
    </cfRule>
  </conditionalFormatting>
  <dataValidations count="2">
    <dataValidation type="list" allowBlank="1" showInputMessage="1" showErrorMessage="1" sqref="D6:F6" xr:uid="{D531E6D0-CFBF-4CA9-8AA1-A6F8A5FD481E}">
      <formula1>$X$6:$X$11</formula1>
    </dataValidation>
    <dataValidation type="list" allowBlank="1" showInputMessage="1" showErrorMessage="1" sqref="I6:K6 N6:P6" xr:uid="{46D35040-FFDC-495F-A96F-D82746474036}">
      <formula1>$AA$6:$AA$11</formula1>
    </dataValidation>
  </dataValidations>
  <printOptions horizontalCentered="1"/>
  <pageMargins left="0.25" right="0.25" top="0.25" bottom="0.25" header="0.3" footer="0.3"/>
  <pageSetup scale="50" orientation="portrait" r:id="rId1"/>
  <rowBreaks count="1" manualBreakCount="1">
    <brk id="130" max="1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3951-AAE0-4196-AECE-5FF3FA54F3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E21:E54</xm:sqref>
        </x14:conditionalFormatting>
        <x14:conditionalFormatting xmlns:xm="http://schemas.microsoft.com/office/excel/2006/main">
          <x14:cfRule type="dataBar" id="{9993D0C6-0C65-4F75-B058-F80DD59639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E59:E64</xm:sqref>
        </x14:conditionalFormatting>
        <x14:conditionalFormatting xmlns:xm="http://schemas.microsoft.com/office/excel/2006/main">
          <x14:cfRule type="dataBar" id="{8C99DA2D-1C69-4732-AAC9-0D9A0A4271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E71:E73</xm:sqref>
        </x14:conditionalFormatting>
        <x14:conditionalFormatting xmlns:xm="http://schemas.microsoft.com/office/excel/2006/main">
          <x14:cfRule type="dataBar" id="{D1F30E09-E34D-451F-899C-E15D95A818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E80:E81</xm:sqref>
        </x14:conditionalFormatting>
        <x14:conditionalFormatting xmlns:xm="http://schemas.microsoft.com/office/excel/2006/main">
          <x14:cfRule type="dataBar" id="{FE3F7056-E9FE-46DF-8C93-9FFBF34CD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J21:J54</xm:sqref>
        </x14:conditionalFormatting>
        <x14:conditionalFormatting xmlns:xm="http://schemas.microsoft.com/office/excel/2006/main">
          <x14:cfRule type="dataBar" id="{40F910F6-5BC3-4E41-81E0-08BA9D288C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J59:J64</xm:sqref>
        </x14:conditionalFormatting>
        <x14:conditionalFormatting xmlns:xm="http://schemas.microsoft.com/office/excel/2006/main">
          <x14:cfRule type="dataBar" id="{DB22D3F5-B5C8-4656-8F7E-87096E9C40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J71:J73</xm:sqref>
        </x14:conditionalFormatting>
        <x14:conditionalFormatting xmlns:xm="http://schemas.microsoft.com/office/excel/2006/main">
          <x14:cfRule type="dataBar" id="{B57EE0D2-655D-4A96-BC27-B8984DFD99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J80:J81</xm:sqref>
        </x14:conditionalFormatting>
        <x14:conditionalFormatting xmlns:xm="http://schemas.microsoft.com/office/excel/2006/main">
          <x14:cfRule type="dataBar" id="{9E8095D2-1559-4834-9FBE-10D1412FD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O21:O54</xm:sqref>
        </x14:conditionalFormatting>
        <x14:conditionalFormatting xmlns:xm="http://schemas.microsoft.com/office/excel/2006/main">
          <x14:cfRule type="dataBar" id="{95BF0A9E-034C-42E3-A8B8-B9ACF3BBF1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O59:O64</xm:sqref>
        </x14:conditionalFormatting>
        <x14:conditionalFormatting xmlns:xm="http://schemas.microsoft.com/office/excel/2006/main">
          <x14:cfRule type="dataBar" id="{8971F378-046D-4B4A-B892-CA4574C5C0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O71:O73</xm:sqref>
        </x14:conditionalFormatting>
        <x14:conditionalFormatting xmlns:xm="http://schemas.microsoft.com/office/excel/2006/main">
          <x14:cfRule type="dataBar" id="{102731EB-B4E9-4495-9E4C-C9626C636B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O80:O81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FD35-15DD-4C74-A827-0B363CFB9319}">
  <dimension ref="A1:X26"/>
  <sheetViews>
    <sheetView workbookViewId="0">
      <selection activeCell="D39" sqref="D39"/>
    </sheetView>
  </sheetViews>
  <sheetFormatPr defaultRowHeight="15"/>
  <cols>
    <col min="1" max="1" width="62.140625" bestFit="1" customWidth="1"/>
    <col min="3" max="3" width="0" hidden="1" customWidth="1"/>
    <col min="8" max="8" width="0" hidden="1" customWidth="1"/>
    <col min="13" max="13" width="0" hidden="1" customWidth="1"/>
  </cols>
  <sheetData>
    <row r="1" spans="1:16" ht="15.75">
      <c r="A1" s="556" t="s">
        <v>265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8"/>
    </row>
    <row r="2" spans="1:16" ht="15.75">
      <c r="A2" s="345"/>
      <c r="B2" s="346"/>
      <c r="C2" s="346"/>
      <c r="D2" s="347"/>
      <c r="E2" s="573"/>
      <c r="F2" s="574"/>
      <c r="G2" s="346"/>
      <c r="H2" s="346"/>
      <c r="I2" s="347"/>
      <c r="J2" s="573"/>
      <c r="K2" s="574"/>
      <c r="L2" s="346"/>
      <c r="M2" s="346"/>
      <c r="N2" s="347"/>
      <c r="O2" s="573"/>
      <c r="P2" s="575"/>
    </row>
    <row r="3" spans="1:16" ht="15.75">
      <c r="A3" s="330" t="s">
        <v>263</v>
      </c>
      <c r="B3" s="320"/>
      <c r="C3" s="299">
        <f>'Crop Budget (Main)'!C88</f>
        <v>0.54574794783772484</v>
      </c>
      <c r="D3" s="321">
        <f>IFERROR('Crop Budget (Main)'!D88,0)</f>
        <v>0</v>
      </c>
      <c r="E3" s="576" t="s">
        <v>268</v>
      </c>
      <c r="F3" s="577"/>
      <c r="G3" s="322"/>
      <c r="H3" s="299">
        <f>'Crop Budget (Main)'!H88</f>
        <v>0.64429098791555184</v>
      </c>
      <c r="I3" s="321">
        <f>IFERROR('Crop Budget (Main)'!I88,0)</f>
        <v>0</v>
      </c>
      <c r="J3" s="576" t="s">
        <v>268</v>
      </c>
      <c r="K3" s="577"/>
      <c r="L3" s="322"/>
      <c r="M3" s="299">
        <f>'Crop Budget (Main)'!M88</f>
        <v>0.90968882404107865</v>
      </c>
      <c r="N3" s="321">
        <f>IFERROR('Crop Budget (Main)'!N88,0)</f>
        <v>0</v>
      </c>
      <c r="O3" s="576" t="s">
        <v>268</v>
      </c>
      <c r="P3" s="578"/>
    </row>
    <row r="4" spans="1:16" ht="15.75">
      <c r="A4" s="370" t="s">
        <v>490</v>
      </c>
      <c r="B4" s="323"/>
      <c r="C4" s="295"/>
      <c r="D4" s="324"/>
      <c r="E4" s="567" t="s">
        <v>267</v>
      </c>
      <c r="F4" s="568"/>
      <c r="G4" s="325"/>
      <c r="H4" s="295"/>
      <c r="I4" s="324"/>
      <c r="J4" s="567" t="s">
        <v>267</v>
      </c>
      <c r="K4" s="568"/>
      <c r="L4" s="325"/>
      <c r="M4" s="295"/>
      <c r="N4" s="324"/>
      <c r="O4" s="567" t="s">
        <v>267</v>
      </c>
      <c r="P4" s="569"/>
    </row>
    <row r="5" spans="1:16" ht="15.75">
      <c r="A5" s="333"/>
      <c r="B5" s="323"/>
      <c r="C5" s="296"/>
      <c r="D5" s="326"/>
      <c r="E5" s="570" t="s">
        <v>266</v>
      </c>
      <c r="F5" s="571"/>
      <c r="G5" s="325"/>
      <c r="H5" s="296"/>
      <c r="I5" s="326"/>
      <c r="J5" s="570" t="s">
        <v>266</v>
      </c>
      <c r="K5" s="571"/>
      <c r="L5" s="325"/>
      <c r="M5" s="296"/>
      <c r="N5" s="326"/>
      <c r="O5" s="570" t="s">
        <v>266</v>
      </c>
      <c r="P5" s="572"/>
    </row>
    <row r="6" spans="1:16" ht="15.75">
      <c r="A6" s="333"/>
      <c r="B6" s="323"/>
      <c r="C6" s="296"/>
      <c r="D6" s="326"/>
      <c r="E6" s="327"/>
      <c r="F6" s="328"/>
      <c r="G6" s="325"/>
      <c r="H6" s="296"/>
      <c r="I6" s="326"/>
      <c r="J6" s="327"/>
      <c r="K6" s="328"/>
      <c r="L6" s="325"/>
      <c r="M6" s="296"/>
      <c r="N6" s="326"/>
      <c r="O6" s="327"/>
      <c r="P6" s="329"/>
    </row>
    <row r="7" spans="1:16" ht="15.75">
      <c r="A7" s="330" t="s">
        <v>430</v>
      </c>
      <c r="B7" s="331"/>
      <c r="C7" s="299">
        <f>'Crop Budget (Main)'!C92</f>
        <v>2.7108508755429098E-3</v>
      </c>
      <c r="D7" s="321">
        <f>IFERROR('Crop Budget (Main)'!D92,0)</f>
        <v>0</v>
      </c>
      <c r="E7" s="561" t="s">
        <v>431</v>
      </c>
      <c r="F7" s="562"/>
      <c r="G7" s="332"/>
      <c r="H7" s="299">
        <f>'Crop Budget (Main)'!H92</f>
        <v>3.8527479724913792E-3</v>
      </c>
      <c r="I7" s="321">
        <f>IFERROR('Crop Budget (Main)'!I92,0)</f>
        <v>0</v>
      </c>
      <c r="J7" s="561" t="s">
        <v>431</v>
      </c>
      <c r="K7" s="562"/>
      <c r="L7" s="332"/>
      <c r="M7" s="299">
        <f>'Crop Budget (Main)'!M92</f>
        <v>3.920798376310596E-3</v>
      </c>
      <c r="N7" s="321">
        <f>IFERROR('Crop Budget (Main)'!N92,0)</f>
        <v>0</v>
      </c>
      <c r="O7" s="561" t="s">
        <v>431</v>
      </c>
      <c r="P7" s="562"/>
    </row>
    <row r="8" spans="1:16" ht="15.75">
      <c r="A8" s="370" t="s">
        <v>491</v>
      </c>
      <c r="B8" s="334"/>
      <c r="C8" s="297"/>
      <c r="D8" s="335"/>
      <c r="E8" s="563" t="s">
        <v>432</v>
      </c>
      <c r="F8" s="564"/>
      <c r="G8" s="336"/>
      <c r="H8" s="297"/>
      <c r="I8" s="335"/>
      <c r="J8" s="563" t="s">
        <v>432</v>
      </c>
      <c r="K8" s="564"/>
      <c r="L8" s="336"/>
      <c r="M8" s="297"/>
      <c r="N8" s="335"/>
      <c r="O8" s="563" t="s">
        <v>432</v>
      </c>
      <c r="P8" s="564"/>
    </row>
    <row r="9" spans="1:16" ht="15.75">
      <c r="A9" s="333"/>
      <c r="B9" s="334"/>
      <c r="C9" s="298"/>
      <c r="D9" s="337"/>
      <c r="E9" s="565" t="s">
        <v>433</v>
      </c>
      <c r="F9" s="566"/>
      <c r="G9" s="336"/>
      <c r="H9" s="298"/>
      <c r="I9" s="337"/>
      <c r="J9" s="565" t="s">
        <v>433</v>
      </c>
      <c r="K9" s="566"/>
      <c r="L9" s="336"/>
      <c r="M9" s="298"/>
      <c r="N9" s="337"/>
      <c r="O9" s="565" t="s">
        <v>433</v>
      </c>
      <c r="P9" s="566"/>
    </row>
    <row r="10" spans="1:16" ht="15.75">
      <c r="A10" s="333"/>
      <c r="B10" s="334"/>
      <c r="C10" s="298"/>
      <c r="D10" s="337"/>
      <c r="E10" s="332"/>
      <c r="F10" s="338"/>
      <c r="G10" s="336"/>
      <c r="H10" s="298"/>
      <c r="I10" s="337"/>
      <c r="J10" s="332"/>
      <c r="K10" s="338"/>
      <c r="L10" s="336"/>
      <c r="M10" s="298"/>
      <c r="N10" s="337"/>
      <c r="O10" s="332"/>
      <c r="P10" s="339"/>
    </row>
    <row r="11" spans="1:16" ht="15.75">
      <c r="A11" s="330" t="s">
        <v>434</v>
      </c>
      <c r="B11" s="331"/>
      <c r="C11" s="299">
        <f>'Crop Budget (Main)'!C96</f>
        <v>3.9039004740686466E-2</v>
      </c>
      <c r="D11" s="321">
        <f>IFERROR('Crop Budget (Main)'!D96,0)</f>
        <v>0</v>
      </c>
      <c r="E11" s="561" t="s">
        <v>431</v>
      </c>
      <c r="F11" s="562"/>
      <c r="G11" s="332"/>
      <c r="H11" s="299">
        <f>'Crop Budget (Main)'!H96</f>
        <v>5.6412341365636935E-2</v>
      </c>
      <c r="I11" s="321">
        <f>IFERROR('Crop Budget (Main)'!I96,0)</f>
        <v>0</v>
      </c>
      <c r="J11" s="561" t="s">
        <v>431</v>
      </c>
      <c r="K11" s="562"/>
      <c r="L11" s="332"/>
      <c r="M11" s="299">
        <f>'Crop Budget (Main)'!M96</f>
        <v>5.5572079276448076E-2</v>
      </c>
      <c r="N11" s="321">
        <f>IFERROR('Crop Budget (Main)'!N96,0)</f>
        <v>0</v>
      </c>
      <c r="O11" s="561" t="s">
        <v>431</v>
      </c>
      <c r="P11" s="562"/>
    </row>
    <row r="12" spans="1:16" ht="15.75">
      <c r="A12" s="370" t="s">
        <v>492</v>
      </c>
      <c r="B12" s="334"/>
      <c r="C12" s="297"/>
      <c r="D12" s="335"/>
      <c r="E12" s="563" t="s">
        <v>432</v>
      </c>
      <c r="F12" s="564"/>
      <c r="G12" s="336"/>
      <c r="H12" s="297"/>
      <c r="I12" s="335"/>
      <c r="J12" s="563" t="s">
        <v>432</v>
      </c>
      <c r="K12" s="564"/>
      <c r="L12" s="336"/>
      <c r="M12" s="297"/>
      <c r="N12" s="335"/>
      <c r="O12" s="563" t="s">
        <v>432</v>
      </c>
      <c r="P12" s="564"/>
    </row>
    <row r="13" spans="1:16" ht="15.75">
      <c r="A13" s="333"/>
      <c r="B13" s="334"/>
      <c r="C13" s="298"/>
      <c r="D13" s="337"/>
      <c r="E13" s="565" t="s">
        <v>433</v>
      </c>
      <c r="F13" s="566"/>
      <c r="G13" s="336"/>
      <c r="H13" s="298"/>
      <c r="I13" s="337"/>
      <c r="J13" s="565" t="s">
        <v>433</v>
      </c>
      <c r="K13" s="566"/>
      <c r="L13" s="336"/>
      <c r="M13" s="298"/>
      <c r="N13" s="337"/>
      <c r="O13" s="565" t="s">
        <v>433</v>
      </c>
      <c r="P13" s="566"/>
    </row>
    <row r="14" spans="1:16" ht="15.75">
      <c r="A14" s="333"/>
      <c r="B14" s="334"/>
      <c r="C14" s="298"/>
      <c r="D14" s="337"/>
      <c r="E14" s="332"/>
      <c r="F14" s="338"/>
      <c r="G14" s="336"/>
      <c r="H14" s="298"/>
      <c r="I14" s="337"/>
      <c r="J14" s="332"/>
      <c r="K14" s="338"/>
      <c r="L14" s="336"/>
      <c r="M14" s="298"/>
      <c r="N14" s="337"/>
      <c r="O14" s="332"/>
      <c r="P14" s="339"/>
    </row>
    <row r="15" spans="1:16" ht="15.75">
      <c r="A15" s="330" t="s">
        <v>435</v>
      </c>
      <c r="B15" s="331"/>
      <c r="C15" s="299">
        <f>'Crop Budget (Main)'!C100</f>
        <v>0.4125021965460457</v>
      </c>
      <c r="D15" s="321">
        <f>IFERROR('Crop Budget (Main)'!D100,0)</f>
        <v>0</v>
      </c>
      <c r="E15" s="561" t="s">
        <v>436</v>
      </c>
      <c r="F15" s="562"/>
      <c r="G15" s="332"/>
      <c r="H15" s="299">
        <f>'Crop Budget (Main)'!H100</f>
        <v>0.29544392274631986</v>
      </c>
      <c r="I15" s="321">
        <f>IFERROR('Crop Budget (Main)'!I100,0)</f>
        <v>0</v>
      </c>
      <c r="J15" s="561" t="s">
        <v>436</v>
      </c>
      <c r="K15" s="562"/>
      <c r="L15" s="332"/>
      <c r="M15" s="299">
        <f>'Crop Budget (Main)'!M100</f>
        <v>3.0818298306162721E-2</v>
      </c>
      <c r="N15" s="321">
        <f>IFERROR('Crop Budget (Main)'!N100,0)</f>
        <v>0</v>
      </c>
      <c r="O15" s="561" t="s">
        <v>436</v>
      </c>
      <c r="P15" s="562"/>
    </row>
    <row r="16" spans="1:16" ht="15.75">
      <c r="A16" s="370" t="s">
        <v>493</v>
      </c>
      <c r="B16" s="334"/>
      <c r="C16" s="334"/>
      <c r="D16" s="335"/>
      <c r="E16" s="563" t="s">
        <v>437</v>
      </c>
      <c r="F16" s="564"/>
      <c r="G16" s="336"/>
      <c r="H16" s="336"/>
      <c r="I16" s="335"/>
      <c r="J16" s="563" t="s">
        <v>437</v>
      </c>
      <c r="K16" s="564"/>
      <c r="L16" s="336"/>
      <c r="M16" s="336"/>
      <c r="N16" s="335"/>
      <c r="O16" s="563" t="s">
        <v>437</v>
      </c>
      <c r="P16" s="564"/>
    </row>
    <row r="17" spans="1:24" ht="15.75">
      <c r="A17" s="340" t="s">
        <v>438</v>
      </c>
      <c r="B17" s="341"/>
      <c r="C17" s="341"/>
      <c r="D17" s="342"/>
      <c r="E17" s="559" t="s">
        <v>439</v>
      </c>
      <c r="F17" s="560"/>
      <c r="G17" s="343"/>
      <c r="H17" s="343"/>
      <c r="I17" s="344"/>
      <c r="J17" s="559" t="s">
        <v>439</v>
      </c>
      <c r="K17" s="560"/>
      <c r="L17" s="343"/>
      <c r="M17" s="343"/>
      <c r="N17" s="344"/>
      <c r="O17" s="559" t="s">
        <v>439</v>
      </c>
      <c r="P17" s="560"/>
    </row>
    <row r="18" spans="1:24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24" s="7" customFormat="1" ht="16.5" hidden="1" customHeight="1">
      <c r="A19" s="556" t="s">
        <v>262</v>
      </c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8"/>
      <c r="Q19" s="6"/>
      <c r="R19" s="6"/>
      <c r="S19" s="13"/>
      <c r="T19" s="13"/>
      <c r="U19" s="13"/>
      <c r="V19" s="13"/>
      <c r="W19" s="13"/>
      <c r="X19" s="6"/>
    </row>
    <row r="20" spans="1:24" s="7" customFormat="1" ht="16.5" hidden="1" customHeight="1">
      <c r="A20" s="348"/>
      <c r="B20" s="349"/>
      <c r="C20" s="349"/>
      <c r="D20" s="347"/>
      <c r="E20" s="346"/>
      <c r="F20" s="350"/>
      <c r="G20" s="346"/>
      <c r="H20" s="346"/>
      <c r="I20" s="347"/>
      <c r="J20" s="346"/>
      <c r="K20" s="350"/>
      <c r="L20" s="346"/>
      <c r="M20" s="346"/>
      <c r="N20" s="347"/>
      <c r="O20" s="346"/>
      <c r="P20" s="351"/>
      <c r="Q20" s="6"/>
      <c r="R20" s="6"/>
      <c r="S20" s="13"/>
      <c r="T20" s="13"/>
      <c r="U20" s="13"/>
      <c r="V20" s="13"/>
      <c r="W20" s="13"/>
      <c r="X20" s="6"/>
    </row>
    <row r="21" spans="1:24" s="7" customFormat="1" ht="16.5" hidden="1" customHeight="1">
      <c r="A21" s="348" t="s">
        <v>272</v>
      </c>
      <c r="B21" s="349"/>
      <c r="C21" s="349"/>
      <c r="D21" s="352" t="s">
        <v>53</v>
      </c>
      <c r="E21" s="352" t="s">
        <v>54</v>
      </c>
      <c r="F21" s="352" t="s">
        <v>55</v>
      </c>
      <c r="G21" s="353"/>
      <c r="H21" s="353"/>
      <c r="I21" s="352" t="s">
        <v>53</v>
      </c>
      <c r="J21" s="352" t="s">
        <v>54</v>
      </c>
      <c r="K21" s="352" t="s">
        <v>55</v>
      </c>
      <c r="L21" s="353"/>
      <c r="M21" s="353"/>
      <c r="N21" s="352" t="s">
        <v>53</v>
      </c>
      <c r="O21" s="352" t="s">
        <v>54</v>
      </c>
      <c r="P21" s="354" t="s">
        <v>55</v>
      </c>
      <c r="Q21" s="6"/>
      <c r="R21" s="6"/>
      <c r="S21" s="13"/>
      <c r="T21" s="13"/>
      <c r="U21" s="13"/>
      <c r="V21" s="13"/>
      <c r="W21" s="13"/>
      <c r="X21" s="6"/>
    </row>
    <row r="22" spans="1:24" s="7" customFormat="1" ht="16.5" hidden="1" customHeight="1">
      <c r="A22" s="355" t="s">
        <v>273</v>
      </c>
      <c r="B22" s="356"/>
      <c r="C22" s="356"/>
      <c r="D22" s="357">
        <f>'Crop Budget (Main)'!D125</f>
        <v>0</v>
      </c>
      <c r="E22" s="357">
        <f>'Crop Budget (Main)'!E125</f>
        <v>0</v>
      </c>
      <c r="F22" s="357">
        <f>'Crop Budget (Main)'!F125</f>
        <v>0</v>
      </c>
      <c r="G22" s="353"/>
      <c r="H22" s="357">
        <f>'Crop Budget (Main)'!H125</f>
        <v>0</v>
      </c>
      <c r="I22" s="357">
        <f>'Crop Budget (Main)'!I125</f>
        <v>0</v>
      </c>
      <c r="J22" s="357">
        <f>'Crop Budget (Main)'!J125</f>
        <v>0</v>
      </c>
      <c r="K22" s="357">
        <f>'Crop Budget (Main)'!K125</f>
        <v>0</v>
      </c>
      <c r="L22" s="353"/>
      <c r="M22" s="357">
        <f>'Crop Budget (Main)'!M125</f>
        <v>0</v>
      </c>
      <c r="N22" s="357">
        <f>'Crop Budget (Main)'!N125</f>
        <v>0</v>
      </c>
      <c r="O22" s="357">
        <f>'Crop Budget (Main)'!O125</f>
        <v>0</v>
      </c>
      <c r="P22" s="357">
        <f>'Crop Budget (Main)'!P125</f>
        <v>0</v>
      </c>
      <c r="Q22" s="6"/>
      <c r="R22" s="6"/>
      <c r="S22" s="13"/>
      <c r="T22" s="13"/>
      <c r="U22" s="13"/>
      <c r="V22" s="13"/>
      <c r="W22" s="13"/>
      <c r="X22" s="6"/>
    </row>
    <row r="23" spans="1:24" s="7" customFormat="1" ht="16.5" hidden="1" customHeight="1">
      <c r="A23" s="361"/>
      <c r="B23" s="6"/>
      <c r="C23" s="6"/>
      <c r="D23" s="362" t="s">
        <v>56</v>
      </c>
      <c r="E23" s="362" t="s">
        <v>57</v>
      </c>
      <c r="F23" s="362" t="s">
        <v>176</v>
      </c>
      <c r="G23" s="363"/>
      <c r="H23" s="363"/>
      <c r="I23" s="362" t="s">
        <v>56</v>
      </c>
      <c r="J23" s="362" t="s">
        <v>57</v>
      </c>
      <c r="K23" s="364" t="s">
        <v>176</v>
      </c>
      <c r="L23" s="363"/>
      <c r="M23" s="363"/>
      <c r="N23" s="362" t="s">
        <v>56</v>
      </c>
      <c r="O23" s="362" t="s">
        <v>57</v>
      </c>
      <c r="P23" s="364" t="s">
        <v>176</v>
      </c>
      <c r="Q23" s="6"/>
      <c r="R23" s="6"/>
      <c r="S23" s="13"/>
      <c r="T23" s="13"/>
      <c r="U23" s="13"/>
      <c r="V23" s="13"/>
      <c r="W23" s="13"/>
      <c r="X23" s="6"/>
    </row>
    <row r="24" spans="1:24" s="7" customFormat="1" ht="16.5" hidden="1" customHeight="1">
      <c r="A24" s="365" t="s">
        <v>484</v>
      </c>
      <c r="B24" s="6"/>
      <c r="C24" s="6"/>
      <c r="D24" s="357"/>
      <c r="E24" s="357"/>
      <c r="F24" s="357"/>
      <c r="G24" s="358"/>
      <c r="H24" s="358"/>
      <c r="I24" s="359"/>
      <c r="J24" s="359"/>
      <c r="K24" s="360"/>
      <c r="L24" s="358"/>
      <c r="M24" s="358"/>
      <c r="N24" s="359"/>
      <c r="O24" s="359"/>
      <c r="P24" s="360"/>
      <c r="Q24" s="6"/>
      <c r="R24" s="6"/>
      <c r="S24" s="13"/>
      <c r="T24" s="13"/>
      <c r="U24" s="13"/>
      <c r="V24" s="13"/>
      <c r="W24" s="13"/>
      <c r="X24" s="6"/>
    </row>
    <row r="25" spans="1:24" s="7" customFormat="1" ht="16.5" hidden="1" customHeight="1">
      <c r="A25" s="361"/>
      <c r="B25" s="6"/>
      <c r="C25" s="6"/>
      <c r="D25" s="362" t="s">
        <v>58</v>
      </c>
      <c r="E25" s="362" t="s">
        <v>59</v>
      </c>
      <c r="F25" s="362" t="s">
        <v>60</v>
      </c>
      <c r="G25" s="363"/>
      <c r="H25" s="363"/>
      <c r="I25" s="362" t="s">
        <v>58</v>
      </c>
      <c r="J25" s="362" t="s">
        <v>59</v>
      </c>
      <c r="K25" s="364" t="s">
        <v>60</v>
      </c>
      <c r="L25" s="363"/>
      <c r="M25" s="363"/>
      <c r="N25" s="362" t="s">
        <v>58</v>
      </c>
      <c r="O25" s="362" t="s">
        <v>59</v>
      </c>
      <c r="P25" s="364" t="s">
        <v>60</v>
      </c>
      <c r="Q25" s="6"/>
      <c r="R25" s="6"/>
      <c r="S25" s="13"/>
      <c r="T25" s="13"/>
      <c r="U25" s="13"/>
      <c r="V25" s="13"/>
      <c r="W25" s="13"/>
      <c r="X25" s="6"/>
    </row>
    <row r="26" spans="1:24" s="7" customFormat="1" ht="16.5" hidden="1" customHeight="1">
      <c r="A26" s="361"/>
      <c r="B26" s="6"/>
      <c r="C26" s="6"/>
      <c r="D26" s="366"/>
      <c r="E26" s="366"/>
      <c r="F26" s="366"/>
      <c r="G26" s="367"/>
      <c r="H26" s="368"/>
      <c r="I26" s="366"/>
      <c r="J26" s="366"/>
      <c r="K26" s="369"/>
      <c r="L26" s="367"/>
      <c r="M26" s="368"/>
      <c r="N26" s="366"/>
      <c r="O26" s="366"/>
      <c r="P26" s="369"/>
      <c r="Q26" s="6"/>
      <c r="R26" s="6"/>
      <c r="S26" s="13"/>
      <c r="T26" s="13"/>
      <c r="U26" s="13"/>
      <c r="V26" s="13"/>
      <c r="W26" s="13"/>
      <c r="X26" s="6"/>
    </row>
  </sheetData>
  <mergeCells count="41">
    <mergeCell ref="A1:P1"/>
    <mergeCell ref="E2:F2"/>
    <mergeCell ref="J2:K2"/>
    <mergeCell ref="O2:P2"/>
    <mergeCell ref="E3:F3"/>
    <mergeCell ref="J3:K3"/>
    <mergeCell ref="O3:P3"/>
    <mergeCell ref="E4:F4"/>
    <mergeCell ref="J4:K4"/>
    <mergeCell ref="O4:P4"/>
    <mergeCell ref="E5:F5"/>
    <mergeCell ref="J5:K5"/>
    <mergeCell ref="O5:P5"/>
    <mergeCell ref="E7:F7"/>
    <mergeCell ref="J7:K7"/>
    <mergeCell ref="O7:P7"/>
    <mergeCell ref="E8:F8"/>
    <mergeCell ref="J8:K8"/>
    <mergeCell ref="O8:P8"/>
    <mergeCell ref="E9:F9"/>
    <mergeCell ref="J9:K9"/>
    <mergeCell ref="O9:P9"/>
    <mergeCell ref="E11:F11"/>
    <mergeCell ref="J11:K11"/>
    <mergeCell ref="O11:P11"/>
    <mergeCell ref="E12:F12"/>
    <mergeCell ref="J12:K12"/>
    <mergeCell ref="O12:P12"/>
    <mergeCell ref="E13:F13"/>
    <mergeCell ref="J13:K13"/>
    <mergeCell ref="O13:P13"/>
    <mergeCell ref="A19:P19"/>
    <mergeCell ref="E17:F17"/>
    <mergeCell ref="J17:K17"/>
    <mergeCell ref="O17:P17"/>
    <mergeCell ref="E15:F15"/>
    <mergeCell ref="J15:K15"/>
    <mergeCell ref="O15:P15"/>
    <mergeCell ref="E16:F16"/>
    <mergeCell ref="J16:K16"/>
    <mergeCell ref="O16:P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84BE-9339-4450-9B17-309CC2D15EFA}">
  <sheetPr>
    <pageSetUpPr fitToPage="1"/>
  </sheetPr>
  <dimension ref="A1:V136"/>
  <sheetViews>
    <sheetView zoomScale="80" zoomScaleNormal="80" workbookViewId="0">
      <pane ySplit="5" topLeftCell="A6" activePane="bottomLeft" state="frozen"/>
      <selection pane="bottomLeft" activeCell="E41" sqref="E41"/>
    </sheetView>
  </sheetViews>
  <sheetFormatPr defaultColWidth="9.140625" defaultRowHeight="18.75"/>
  <cols>
    <col min="1" max="1" width="12.28515625" style="7" bestFit="1" customWidth="1"/>
    <col min="2" max="2" width="25.5703125" style="7" bestFit="1" customWidth="1"/>
    <col min="3" max="3" width="9.140625" style="7"/>
    <col min="4" max="4" width="26.28515625" style="7" bestFit="1" customWidth="1"/>
    <col min="5" max="5" width="9.140625" style="7"/>
    <col min="6" max="6" width="23.85546875" style="7" bestFit="1" customWidth="1"/>
    <col min="7" max="7" width="18.28515625" style="7" hidden="1" customWidth="1"/>
    <col min="8" max="8" width="9.140625" style="7" customWidth="1"/>
    <col min="9" max="10" width="9.140625" style="7"/>
    <col min="11" max="11" width="4.7109375" style="7" customWidth="1"/>
    <col min="12" max="14" width="9.140625" style="7"/>
    <col min="15" max="16" width="4.7109375" style="7" customWidth="1"/>
    <col min="17" max="19" width="9.140625" style="7"/>
    <col min="20" max="20" width="4.7109375" style="7" customWidth="1"/>
    <col min="21" max="16384" width="9.140625" style="7"/>
  </cols>
  <sheetData>
    <row r="1" spans="1:9" ht="15.75" customHeight="1"/>
    <row r="2" spans="1:9" ht="15.75" customHeight="1"/>
    <row r="3" spans="1:9" ht="15.75" customHeight="1"/>
    <row r="5" spans="1:9">
      <c r="G5" s="7" t="s">
        <v>569</v>
      </c>
    </row>
    <row r="6" spans="1:9" ht="16.5" customHeight="1">
      <c r="A6" s="482"/>
      <c r="B6" s="590" t="s">
        <v>568</v>
      </c>
      <c r="C6" s="590"/>
      <c r="D6" s="590"/>
      <c r="E6" s="590"/>
      <c r="F6" s="590"/>
      <c r="G6" s="7" t="s">
        <v>423</v>
      </c>
    </row>
    <row r="7" spans="1:9" ht="16.5" customHeight="1">
      <c r="A7" s="482"/>
      <c r="B7" s="591" t="s">
        <v>567</v>
      </c>
      <c r="C7" s="591"/>
      <c r="D7" s="591"/>
      <c r="E7" s="591"/>
      <c r="F7" s="591"/>
      <c r="G7" s="7" t="s">
        <v>424</v>
      </c>
    </row>
    <row r="8" spans="1:9">
      <c r="A8" s="481"/>
      <c r="B8" s="275" t="s">
        <v>68</v>
      </c>
      <c r="D8" s="275" t="s">
        <v>68</v>
      </c>
      <c r="G8" s="7" t="s">
        <v>566</v>
      </c>
    </row>
    <row r="9" spans="1:9">
      <c r="A9" s="481"/>
      <c r="B9" s="433" t="s">
        <v>565</v>
      </c>
      <c r="C9" s="268"/>
      <c r="D9" s="433" t="s">
        <v>564</v>
      </c>
      <c r="E9" s="268"/>
      <c r="F9" s="433" t="s">
        <v>563</v>
      </c>
      <c r="G9" s="7" t="s">
        <v>562</v>
      </c>
    </row>
    <row r="10" spans="1:9">
      <c r="A10" s="478"/>
      <c r="B10" s="91">
        <v>2.5</v>
      </c>
      <c r="C10" s="435" t="s">
        <v>539</v>
      </c>
      <c r="D10" s="91">
        <v>100</v>
      </c>
      <c r="E10" s="433" t="s">
        <v>463</v>
      </c>
      <c r="F10" s="469">
        <f>B10*D10</f>
        <v>250</v>
      </c>
      <c r="G10" s="429" t="s">
        <v>425</v>
      </c>
      <c r="H10" s="429"/>
      <c r="I10" s="429"/>
    </row>
    <row r="11" spans="1:9">
      <c r="A11" s="479"/>
      <c r="B11" s="480"/>
      <c r="C11" s="480"/>
      <c r="D11" s="480"/>
      <c r="E11" s="480"/>
      <c r="F11" s="480"/>
      <c r="G11" s="429"/>
      <c r="H11" s="429"/>
      <c r="I11" s="429"/>
    </row>
    <row r="12" spans="1:9">
      <c r="A12" s="479"/>
      <c r="B12" s="432" t="s">
        <v>561</v>
      </c>
      <c r="G12" s="429"/>
      <c r="H12" s="429"/>
      <c r="I12" s="429"/>
    </row>
    <row r="13" spans="1:9" ht="18.75" customHeight="1">
      <c r="A13" s="479"/>
      <c r="B13" s="432" t="s">
        <v>560</v>
      </c>
      <c r="G13" s="429"/>
      <c r="H13" s="429"/>
      <c r="I13" s="429"/>
    </row>
    <row r="14" spans="1:9">
      <c r="A14" s="478"/>
      <c r="B14" s="432" t="s">
        <v>559</v>
      </c>
      <c r="G14" s="429"/>
      <c r="H14" s="429"/>
      <c r="I14" s="429"/>
    </row>
    <row r="15" spans="1:9">
      <c r="A15" s="429"/>
      <c r="G15" s="429"/>
      <c r="H15" s="429"/>
      <c r="I15" s="429"/>
    </row>
    <row r="16" spans="1:9">
      <c r="A16" s="429"/>
      <c r="B16" s="591" t="s">
        <v>558</v>
      </c>
      <c r="C16" s="591"/>
      <c r="D16" s="591"/>
      <c r="E16" s="591"/>
      <c r="F16" s="591"/>
      <c r="G16" s="429"/>
      <c r="H16" s="429"/>
      <c r="I16" s="429"/>
    </row>
    <row r="17" spans="2:21" ht="19.5" customHeight="1">
      <c r="B17" s="275" t="s">
        <v>68</v>
      </c>
      <c r="D17" s="275" t="s">
        <v>68</v>
      </c>
    </row>
    <row r="18" spans="2:21">
      <c r="B18" s="433" t="s">
        <v>557</v>
      </c>
      <c r="C18" s="268"/>
      <c r="D18" s="433" t="s">
        <v>556</v>
      </c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</row>
    <row r="19" spans="2:21">
      <c r="B19" s="91">
        <v>9</v>
      </c>
      <c r="C19" s="435"/>
      <c r="D19" s="91">
        <v>9</v>
      </c>
      <c r="J19" s="592" t="s">
        <v>555</v>
      </c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</row>
    <row r="20" spans="2:21"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</row>
    <row r="21" spans="2:21">
      <c r="B21" s="435" t="s">
        <v>554</v>
      </c>
      <c r="C21" s="435"/>
      <c r="D21" s="435" t="s">
        <v>553</v>
      </c>
      <c r="E21" s="268"/>
      <c r="F21" s="433" t="s">
        <v>552</v>
      </c>
      <c r="J21" s="431"/>
      <c r="K21" s="431"/>
      <c r="L21" s="431"/>
      <c r="M21" s="431"/>
      <c r="N21" s="431"/>
      <c r="O21" s="589" t="s">
        <v>538</v>
      </c>
      <c r="P21" s="589"/>
      <c r="Q21" s="431"/>
      <c r="R21" s="431"/>
      <c r="S21" s="431"/>
      <c r="T21" s="431"/>
      <c r="U21" s="431"/>
    </row>
    <row r="22" spans="2:21" ht="19.5" thickBot="1">
      <c r="B22" s="207">
        <f>(B19/12)+B10</f>
        <v>3.25</v>
      </c>
      <c r="C22" s="435" t="s">
        <v>539</v>
      </c>
      <c r="D22" s="207">
        <f>(D19/12)+D10</f>
        <v>100.75</v>
      </c>
      <c r="E22" s="433" t="s">
        <v>463</v>
      </c>
      <c r="F22" s="469">
        <f>B22*D22</f>
        <v>327.4375</v>
      </c>
      <c r="J22" s="467"/>
      <c r="K22" s="431"/>
      <c r="L22" s="431"/>
      <c r="M22" s="431"/>
      <c r="N22" s="431"/>
      <c r="O22" s="593"/>
      <c r="P22" s="593"/>
      <c r="Q22" s="431"/>
      <c r="R22" s="431"/>
      <c r="S22" s="431"/>
      <c r="T22" s="431"/>
      <c r="U22" s="431"/>
    </row>
    <row r="23" spans="2:21" ht="19.5" thickBot="1">
      <c r="J23" s="467"/>
      <c r="K23" s="477"/>
      <c r="L23" s="473"/>
      <c r="M23" s="474" t="s">
        <v>540</v>
      </c>
      <c r="N23" s="473"/>
      <c r="O23" s="476"/>
      <c r="P23" s="475"/>
      <c r="Q23" s="473"/>
      <c r="R23" s="474" t="s">
        <v>540</v>
      </c>
      <c r="S23" s="473"/>
      <c r="T23" s="472"/>
      <c r="U23" s="431"/>
    </row>
    <row r="24" spans="2:21">
      <c r="B24" s="469" t="s">
        <v>551</v>
      </c>
      <c r="C24" s="268"/>
      <c r="D24" s="469" t="s">
        <v>550</v>
      </c>
      <c r="E24" s="268"/>
      <c r="F24" s="435" t="s">
        <v>543</v>
      </c>
      <c r="J24" s="467"/>
      <c r="K24" s="446"/>
      <c r="L24" s="582" t="s">
        <v>547</v>
      </c>
      <c r="M24" s="453"/>
      <c r="N24" s="452"/>
      <c r="O24" s="466"/>
      <c r="P24" s="444"/>
      <c r="Q24" s="582" t="s">
        <v>547</v>
      </c>
      <c r="R24" s="453"/>
      <c r="S24" s="452"/>
      <c r="T24" s="443"/>
      <c r="U24" s="431"/>
    </row>
    <row r="25" spans="2:21">
      <c r="B25" s="471">
        <v>43560</v>
      </c>
      <c r="C25" s="470" t="s">
        <v>549</v>
      </c>
      <c r="D25" s="469">
        <f>F22</f>
        <v>327.4375</v>
      </c>
      <c r="E25" s="433" t="s">
        <v>463</v>
      </c>
      <c r="F25" s="468">
        <f>B25/D25</f>
        <v>133.0330215690017</v>
      </c>
      <c r="J25" s="467"/>
      <c r="K25" s="451" t="s">
        <v>540</v>
      </c>
      <c r="L25" s="583"/>
      <c r="M25" s="449" t="s">
        <v>545</v>
      </c>
      <c r="N25" s="448"/>
      <c r="O25" s="450" t="s">
        <v>540</v>
      </c>
      <c r="P25" s="450" t="s">
        <v>540</v>
      </c>
      <c r="Q25" s="583"/>
      <c r="R25" s="449" t="s">
        <v>545</v>
      </c>
      <c r="S25" s="448"/>
      <c r="T25" s="447" t="s">
        <v>540</v>
      </c>
      <c r="U25" s="431"/>
    </row>
    <row r="26" spans="2:21" ht="19.5" thickBot="1">
      <c r="J26" s="467"/>
      <c r="K26" s="446"/>
      <c r="L26" s="584"/>
      <c r="M26" s="586" t="s">
        <v>544</v>
      </c>
      <c r="N26" s="587"/>
      <c r="O26" s="466"/>
      <c r="P26" s="444"/>
      <c r="Q26" s="584"/>
      <c r="R26" s="586" t="s">
        <v>544</v>
      </c>
      <c r="S26" s="587"/>
      <c r="T26" s="443"/>
      <c r="U26" s="431"/>
    </row>
    <row r="27" spans="2:21" ht="19.5" thickBot="1">
      <c r="B27" s="579" t="s">
        <v>548</v>
      </c>
      <c r="C27" s="579"/>
      <c r="D27" s="579"/>
      <c r="E27" s="579"/>
      <c r="F27" s="579"/>
      <c r="J27" s="580" t="s">
        <v>538</v>
      </c>
      <c r="K27" s="465"/>
      <c r="L27" s="462"/>
      <c r="M27" s="457" t="s">
        <v>540</v>
      </c>
      <c r="N27" s="462"/>
      <c r="O27" s="464"/>
      <c r="P27" s="463"/>
      <c r="Q27" s="462"/>
      <c r="R27" s="457" t="s">
        <v>540</v>
      </c>
      <c r="S27" s="462"/>
      <c r="T27" s="461"/>
      <c r="U27" s="581" t="s">
        <v>538</v>
      </c>
    </row>
    <row r="28" spans="2:21" ht="18.75" customHeight="1" thickBot="1">
      <c r="B28" s="579"/>
      <c r="C28" s="579"/>
      <c r="D28" s="579"/>
      <c r="E28" s="579"/>
      <c r="F28" s="579"/>
      <c r="J28" s="580"/>
      <c r="K28" s="460"/>
      <c r="L28" s="456"/>
      <c r="M28" s="457" t="s">
        <v>540</v>
      </c>
      <c r="N28" s="456"/>
      <c r="O28" s="459"/>
      <c r="P28" s="458"/>
      <c r="Q28" s="456"/>
      <c r="R28" s="457" t="s">
        <v>540</v>
      </c>
      <c r="S28" s="456"/>
      <c r="T28" s="455"/>
      <c r="U28" s="581"/>
    </row>
    <row r="29" spans="2:21">
      <c r="J29" s="431"/>
      <c r="K29" s="446"/>
      <c r="L29" s="582" t="s">
        <v>547</v>
      </c>
      <c r="M29" s="453"/>
      <c r="N29" s="452"/>
      <c r="O29" s="454"/>
      <c r="P29" s="444"/>
      <c r="Q29" s="582" t="s">
        <v>547</v>
      </c>
      <c r="R29" s="453"/>
      <c r="S29" s="452"/>
      <c r="T29" s="443"/>
      <c r="U29" s="431"/>
    </row>
    <row r="30" spans="2:21">
      <c r="B30" s="585" t="s">
        <v>546</v>
      </c>
      <c r="C30" s="585"/>
      <c r="D30" s="585"/>
      <c r="E30" s="585"/>
      <c r="F30" s="585"/>
      <c r="J30" s="431"/>
      <c r="K30" s="451" t="s">
        <v>540</v>
      </c>
      <c r="L30" s="583"/>
      <c r="M30" s="449" t="s">
        <v>545</v>
      </c>
      <c r="N30" s="448"/>
      <c r="O30" s="450" t="s">
        <v>540</v>
      </c>
      <c r="P30" s="450" t="s">
        <v>540</v>
      </c>
      <c r="Q30" s="583"/>
      <c r="R30" s="449" t="s">
        <v>545</v>
      </c>
      <c r="S30" s="448"/>
      <c r="T30" s="447" t="s">
        <v>540</v>
      </c>
      <c r="U30" s="431"/>
    </row>
    <row r="31" spans="2:21" ht="18.75" customHeight="1" thickBot="1">
      <c r="B31" s="275" t="s">
        <v>68</v>
      </c>
      <c r="D31" s="275"/>
      <c r="J31" s="431"/>
      <c r="K31" s="446"/>
      <c r="L31" s="584"/>
      <c r="M31" s="586" t="s">
        <v>544</v>
      </c>
      <c r="N31" s="587"/>
      <c r="O31" s="445"/>
      <c r="P31" s="444"/>
      <c r="Q31" s="584"/>
      <c r="R31" s="586" t="s">
        <v>544</v>
      </c>
      <c r="S31" s="587"/>
      <c r="T31" s="443"/>
      <c r="U31" s="431"/>
    </row>
    <row r="32" spans="2:21" ht="18.75" customHeight="1" thickBot="1">
      <c r="B32" s="435" t="s">
        <v>543</v>
      </c>
      <c r="C32" s="268"/>
      <c r="D32" s="435" t="s">
        <v>542</v>
      </c>
      <c r="E32" s="268"/>
      <c r="F32" s="435" t="s">
        <v>541</v>
      </c>
      <c r="J32" s="431"/>
      <c r="K32" s="442"/>
      <c r="L32" s="441"/>
      <c r="M32" s="438" t="s">
        <v>540</v>
      </c>
      <c r="N32" s="441"/>
      <c r="O32" s="440"/>
      <c r="P32" s="439"/>
      <c r="Q32" s="437"/>
      <c r="R32" s="438" t="s">
        <v>540</v>
      </c>
      <c r="S32" s="437"/>
      <c r="T32" s="436"/>
      <c r="U32" s="431"/>
    </row>
    <row r="33" spans="1:21">
      <c r="B33" s="91">
        <v>133.03</v>
      </c>
      <c r="C33" s="435" t="s">
        <v>539</v>
      </c>
      <c r="D33" s="434">
        <f>F10/B25</f>
        <v>5.7392102846648297E-3</v>
      </c>
      <c r="E33" s="433" t="s">
        <v>463</v>
      </c>
      <c r="F33" s="235">
        <f>B33*D33</f>
        <v>0.76348714416896235</v>
      </c>
      <c r="J33" s="431"/>
      <c r="K33" s="431"/>
      <c r="L33" s="431"/>
      <c r="M33" s="431"/>
      <c r="N33" s="431"/>
      <c r="O33" s="588" t="s">
        <v>538</v>
      </c>
      <c r="P33" s="588"/>
      <c r="Q33" s="431"/>
      <c r="R33" s="431"/>
      <c r="S33" s="431"/>
      <c r="T33" s="431"/>
      <c r="U33" s="431"/>
    </row>
    <row r="34" spans="1:21" ht="18.75" customHeight="1">
      <c r="B34" s="278"/>
      <c r="C34" s="278"/>
      <c r="D34" s="278"/>
      <c r="E34" s="278"/>
      <c r="F34" s="278"/>
      <c r="J34" s="431"/>
      <c r="K34" s="431"/>
      <c r="L34" s="431"/>
      <c r="M34" s="431"/>
      <c r="N34" s="431"/>
      <c r="O34" s="589"/>
      <c r="P34" s="589"/>
      <c r="Q34" s="431"/>
      <c r="R34" s="431"/>
      <c r="S34" s="431"/>
      <c r="T34" s="431"/>
      <c r="U34" s="431"/>
    </row>
    <row r="35" spans="1:21">
      <c r="B35" s="432" t="s">
        <v>537</v>
      </c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</row>
    <row r="36" spans="1:21">
      <c r="B36" s="579" t="s">
        <v>536</v>
      </c>
      <c r="C36" s="579"/>
      <c r="D36" s="579"/>
      <c r="E36" s="579"/>
      <c r="F36" s="579"/>
      <c r="J36" s="431"/>
      <c r="K36" s="431" t="s">
        <v>535</v>
      </c>
      <c r="L36" s="431"/>
      <c r="M36" s="431"/>
      <c r="N36" s="431"/>
      <c r="O36" s="431"/>
      <c r="P36" s="431"/>
      <c r="Q36" s="431"/>
      <c r="R36" s="431"/>
      <c r="S36" s="431"/>
      <c r="T36" s="431"/>
      <c r="U36" s="431"/>
    </row>
    <row r="37" spans="1:21" ht="18.75" customHeight="1">
      <c r="B37" s="579"/>
      <c r="C37" s="579"/>
      <c r="D37" s="579"/>
      <c r="E37" s="579"/>
      <c r="F37" s="579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</row>
    <row r="38" spans="1:21">
      <c r="B38" s="430"/>
      <c r="C38" s="430"/>
      <c r="D38" s="430"/>
      <c r="E38" s="430"/>
      <c r="F38" s="430"/>
    </row>
    <row r="39" spans="1:21"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</row>
    <row r="41" spans="1:21">
      <c r="O41" s="424"/>
      <c r="P41" s="424"/>
    </row>
    <row r="42" spans="1:21">
      <c r="A42" s="422"/>
      <c r="J42" s="429"/>
      <c r="O42" s="424"/>
      <c r="P42" s="424"/>
    </row>
    <row r="43" spans="1:21">
      <c r="A43" s="422"/>
      <c r="J43" s="429"/>
      <c r="M43" s="13"/>
      <c r="R43" s="13"/>
    </row>
    <row r="44" spans="1:21">
      <c r="A44" s="422"/>
      <c r="J44" s="429"/>
      <c r="L44" s="426"/>
      <c r="M44" s="250"/>
      <c r="N44" s="250"/>
      <c r="Q44" s="426"/>
      <c r="R44" s="250"/>
      <c r="S44" s="250"/>
    </row>
    <row r="45" spans="1:21">
      <c r="J45" s="429"/>
      <c r="K45" s="13"/>
      <c r="L45" s="426"/>
      <c r="M45" s="245"/>
      <c r="N45" s="250"/>
      <c r="O45" s="13"/>
      <c r="P45" s="13"/>
      <c r="Q45" s="426"/>
      <c r="R45" s="245"/>
      <c r="S45" s="250"/>
      <c r="T45" s="13"/>
    </row>
    <row r="46" spans="1:21">
      <c r="J46" s="429"/>
      <c r="L46" s="426"/>
      <c r="M46" s="425"/>
      <c r="N46" s="425"/>
      <c r="Q46" s="426"/>
      <c r="R46" s="425"/>
      <c r="S46" s="425"/>
    </row>
    <row r="47" spans="1:21">
      <c r="J47" s="429"/>
      <c r="L47" s="426"/>
      <c r="M47" s="425"/>
      <c r="N47" s="425"/>
      <c r="Q47" s="426"/>
      <c r="R47" s="425"/>
      <c r="S47" s="425"/>
    </row>
    <row r="48" spans="1:21">
      <c r="J48" s="429"/>
      <c r="L48" s="426"/>
      <c r="M48" s="425"/>
      <c r="N48" s="425"/>
      <c r="Q48" s="426"/>
      <c r="R48" s="425"/>
      <c r="S48" s="425"/>
    </row>
    <row r="49" spans="1:22">
      <c r="J49" s="429"/>
      <c r="L49" s="426"/>
      <c r="M49" s="425"/>
      <c r="N49" s="425"/>
      <c r="Q49" s="426"/>
      <c r="R49" s="425"/>
      <c r="S49" s="425"/>
    </row>
    <row r="50" spans="1:22">
      <c r="J50" s="429"/>
      <c r="L50" s="426"/>
      <c r="M50" s="425"/>
      <c r="N50" s="425"/>
      <c r="Q50" s="426"/>
      <c r="R50" s="425"/>
      <c r="S50" s="425"/>
    </row>
    <row r="51" spans="1:22" ht="19.5" customHeight="1">
      <c r="J51" s="428"/>
      <c r="K51" s="428"/>
      <c r="M51" s="13"/>
      <c r="R51" s="13"/>
      <c r="U51" s="428"/>
      <c r="V51" s="428"/>
    </row>
    <row r="52" spans="1:22">
      <c r="A52" s="422"/>
      <c r="J52" s="428"/>
      <c r="K52" s="428"/>
      <c r="M52" s="13"/>
      <c r="R52" s="13"/>
      <c r="U52" s="428"/>
      <c r="V52" s="428"/>
    </row>
    <row r="53" spans="1:22">
      <c r="A53" s="422"/>
      <c r="L53" s="426"/>
      <c r="M53" s="250"/>
      <c r="N53" s="250"/>
      <c r="O53" s="250"/>
      <c r="Q53" s="426"/>
      <c r="R53" s="250"/>
      <c r="S53" s="250"/>
    </row>
    <row r="54" spans="1:22">
      <c r="A54" s="422"/>
      <c r="K54" s="13"/>
      <c r="L54" s="426"/>
      <c r="M54" s="245"/>
      <c r="N54" s="250"/>
      <c r="O54" s="13"/>
      <c r="P54" s="13"/>
      <c r="Q54" s="426"/>
      <c r="R54" s="245"/>
      <c r="S54" s="250"/>
      <c r="T54" s="13"/>
    </row>
    <row r="55" spans="1:22">
      <c r="L55" s="426"/>
      <c r="M55" s="425"/>
      <c r="N55" s="425"/>
      <c r="O55" s="427"/>
      <c r="Q55" s="426"/>
      <c r="R55" s="425"/>
      <c r="S55" s="425"/>
    </row>
    <row r="56" spans="1:22">
      <c r="M56" s="13"/>
      <c r="R56" s="13"/>
    </row>
    <row r="57" spans="1:22">
      <c r="O57" s="424"/>
      <c r="P57" s="424"/>
    </row>
    <row r="58" spans="1:22">
      <c r="A58" s="422"/>
      <c r="O58" s="424"/>
      <c r="P58" s="424"/>
    </row>
    <row r="59" spans="1:22">
      <c r="A59" s="422"/>
    </row>
    <row r="60" spans="1:22">
      <c r="A60" s="422"/>
    </row>
    <row r="61" spans="1:22" ht="18.75" customHeight="1"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</row>
    <row r="62" spans="1:22" ht="18.75" customHeight="1">
      <c r="J62" s="423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3"/>
    </row>
    <row r="63" spans="1:22"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</row>
    <row r="64" spans="1:22">
      <c r="A64" s="422"/>
    </row>
    <row r="65" spans="1:1">
      <c r="A65" s="422"/>
    </row>
    <row r="66" spans="1:1">
      <c r="A66" s="422"/>
    </row>
    <row r="75" spans="1:1" ht="16.5" customHeight="1"/>
    <row r="76" spans="1:1" ht="16.5" hidden="1" customHeight="1" thickBot="1"/>
    <row r="77" spans="1:1" ht="16.5" hidden="1" customHeight="1"/>
    <row r="78" spans="1:1" ht="16.5" hidden="1" customHeight="1"/>
    <row r="79" spans="1:1" ht="16.5" hidden="1" customHeight="1"/>
    <row r="80" spans="1:1" ht="16.5" hidden="1" customHeight="1"/>
    <row r="81" s="7" customFormat="1" ht="16.5" hidden="1" customHeight="1"/>
    <row r="82" s="7" customFormat="1" ht="16.5" hidden="1" customHeight="1"/>
    <row r="83" s="7" customFormat="1" ht="16.5" hidden="1" customHeight="1"/>
    <row r="84" s="7" customFormat="1" ht="16.5" hidden="1" customHeight="1"/>
    <row r="85" s="7" customFormat="1" ht="16.5" customHeight="1"/>
    <row r="86" s="7" customFormat="1" ht="16.5" customHeight="1"/>
    <row r="92" s="7" customFormat="1" ht="18.75" customHeight="1"/>
    <row r="102" s="7" customFormat="1" ht="16.5" customHeight="1"/>
    <row r="103" s="7" customFormat="1" ht="16.5" customHeight="1"/>
    <row r="104" s="7" customFormat="1" ht="16.5" customHeight="1"/>
    <row r="116" spans="3:9" ht="7.35" hidden="1" customHeight="1"/>
    <row r="117" spans="3:9" ht="16.5" hidden="1" customHeight="1" thickBot="1"/>
    <row r="118" spans="3:9" ht="16.5" hidden="1" customHeight="1"/>
    <row r="119" spans="3:9" ht="16.5" hidden="1" customHeight="1"/>
    <row r="120" spans="3:9" ht="16.5" customHeight="1"/>
    <row r="121" spans="3:9" ht="16.5" customHeight="1"/>
    <row r="122" spans="3:9" ht="16.5" customHeight="1"/>
    <row r="124" spans="3:9" ht="18" customHeight="1"/>
    <row r="127" spans="3:9">
      <c r="C127" s="421"/>
      <c r="D127" s="6"/>
      <c r="E127" s="6"/>
      <c r="F127" s="6"/>
      <c r="G127" s="6"/>
      <c r="H127" s="6"/>
      <c r="I127" s="6"/>
    </row>
    <row r="128" spans="3:9">
      <c r="C128" s="420"/>
      <c r="D128" s="6"/>
      <c r="E128" s="6"/>
      <c r="F128" s="6"/>
      <c r="G128" s="6"/>
      <c r="H128" s="6"/>
      <c r="I128" s="6"/>
    </row>
    <row r="129" spans="3:9">
      <c r="C129" s="420"/>
      <c r="D129" s="6"/>
      <c r="E129" s="6"/>
      <c r="F129" s="6"/>
      <c r="G129" s="6"/>
      <c r="H129" s="6"/>
      <c r="I129" s="6"/>
    </row>
    <row r="130" spans="3:9" hidden="1">
      <c r="C130" s="420"/>
      <c r="D130" s="6"/>
      <c r="E130" s="6"/>
      <c r="F130" s="6"/>
      <c r="G130" s="6"/>
      <c r="H130" s="6"/>
      <c r="I130" s="6"/>
    </row>
    <row r="131" spans="3:9" ht="18" hidden="1" customHeight="1">
      <c r="C131" s="420"/>
      <c r="D131" s="6"/>
      <c r="E131" s="6"/>
      <c r="F131" s="6"/>
      <c r="G131" s="6"/>
      <c r="H131" s="6"/>
      <c r="I131" s="6"/>
    </row>
    <row r="132" spans="3:9" hidden="1">
      <c r="C132" s="420"/>
      <c r="D132" s="6"/>
      <c r="E132" s="6"/>
      <c r="F132" s="6"/>
      <c r="G132" s="6"/>
      <c r="H132" s="6"/>
      <c r="I132" s="6"/>
    </row>
    <row r="133" spans="3:9" hidden="1">
      <c r="C133" s="420"/>
      <c r="D133" s="6"/>
      <c r="E133" s="6"/>
      <c r="F133" s="6"/>
      <c r="G133" s="6"/>
      <c r="H133" s="6"/>
      <c r="I133" s="6"/>
    </row>
    <row r="134" spans="3:9" hidden="1">
      <c r="C134" s="420"/>
      <c r="D134" s="6"/>
      <c r="E134" s="6"/>
      <c r="F134" s="6"/>
      <c r="G134" s="6"/>
      <c r="H134" s="6"/>
      <c r="I134" s="6"/>
    </row>
    <row r="135" spans="3:9" hidden="1">
      <c r="C135" s="420"/>
      <c r="D135" s="6"/>
      <c r="E135" s="6"/>
      <c r="F135" s="6"/>
      <c r="G135" s="6"/>
      <c r="H135" s="6"/>
      <c r="I135" s="6"/>
    </row>
    <row r="136" spans="3:9" hidden="1"/>
  </sheetData>
  <dataConsolidate/>
  <mergeCells count="19">
    <mergeCell ref="B6:F6"/>
    <mergeCell ref="B7:F7"/>
    <mergeCell ref="B16:F16"/>
    <mergeCell ref="J19:U19"/>
    <mergeCell ref="O21:P22"/>
    <mergeCell ref="L24:L26"/>
    <mergeCell ref="Q24:Q26"/>
    <mergeCell ref="M26:N26"/>
    <mergeCell ref="R26:S26"/>
    <mergeCell ref="O33:P34"/>
    <mergeCell ref="B36:F37"/>
    <mergeCell ref="B27:F28"/>
    <mergeCell ref="J27:J28"/>
    <mergeCell ref="U27:U28"/>
    <mergeCell ref="L29:L31"/>
    <mergeCell ref="Q29:Q31"/>
    <mergeCell ref="B30:F30"/>
    <mergeCell ref="M31:N31"/>
    <mergeCell ref="R31:S31"/>
  </mergeCells>
  <printOptions horizontalCentered="1"/>
  <pageMargins left="0.25" right="0.25" top="0.25" bottom="0.25" header="0" footer="0"/>
  <pageSetup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081D-DD0E-432C-A936-7A0FA488BEF4}">
  <dimension ref="A1:L44"/>
  <sheetViews>
    <sheetView topLeftCell="A3" workbookViewId="0">
      <selection activeCell="F54" sqref="F54"/>
    </sheetView>
  </sheetViews>
  <sheetFormatPr defaultRowHeight="15"/>
  <cols>
    <col min="1" max="1" width="23.28515625" bestFit="1" customWidth="1"/>
    <col min="2" max="2" width="10.85546875" bestFit="1" customWidth="1"/>
    <col min="3" max="3" width="10.5703125" bestFit="1" customWidth="1"/>
    <col min="4" max="4" width="18.42578125" bestFit="1" customWidth="1"/>
    <col min="9" max="9" width="15.7109375" bestFit="1" customWidth="1"/>
    <col min="10" max="10" width="10.85546875" bestFit="1" customWidth="1"/>
    <col min="11" max="11" width="10.5703125" bestFit="1" customWidth="1"/>
    <col min="12" max="12" width="18.42578125" bestFit="1" customWidth="1"/>
  </cols>
  <sheetData>
    <row r="1" spans="1:12">
      <c r="B1" t="s">
        <v>440</v>
      </c>
      <c r="C1" t="s">
        <v>66</v>
      </c>
      <c r="D1" t="s">
        <v>441</v>
      </c>
      <c r="J1" t="s">
        <v>440</v>
      </c>
      <c r="K1" t="s">
        <v>66</v>
      </c>
      <c r="L1" t="s">
        <v>441</v>
      </c>
    </row>
    <row r="2" spans="1:12" ht="15.75">
      <c r="A2" s="46" t="s">
        <v>38</v>
      </c>
      <c r="B2" s="47">
        <f>'Crop Budget (Main)'!D21</f>
        <v>0</v>
      </c>
      <c r="C2" s="47">
        <f>'Crop Budget (Main)'!I21</f>
        <v>0</v>
      </c>
      <c r="D2" s="47">
        <f>'Crop Budget (Main)'!N21</f>
        <v>0</v>
      </c>
      <c r="I2" t="s">
        <v>446</v>
      </c>
      <c r="J2" s="48">
        <f>'Crop Budget (Main)'!D55</f>
        <v>0</v>
      </c>
      <c r="K2" s="48">
        <f>'Crop Budget (Main)'!I55</f>
        <v>0</v>
      </c>
      <c r="L2" s="48">
        <f>'Crop Budget (Main)'!N55</f>
        <v>0</v>
      </c>
    </row>
    <row r="3" spans="1:12" ht="15.75">
      <c r="A3" s="46" t="s">
        <v>39</v>
      </c>
      <c r="B3" s="47">
        <f>SUM(B4:B7)</f>
        <v>0</v>
      </c>
      <c r="C3" s="47">
        <f>SUM(C4:C7)</f>
        <v>0</v>
      </c>
      <c r="D3" s="47">
        <f>SUM(D4:D7)</f>
        <v>0</v>
      </c>
      <c r="I3" t="s">
        <v>447</v>
      </c>
      <c r="J3" s="48">
        <f>'Crop Budget (Main)'!D65</f>
        <v>0</v>
      </c>
      <c r="K3" s="48">
        <f>'Crop Budget (Main)'!I65</f>
        <v>0</v>
      </c>
      <c r="L3" s="48">
        <f>'Crop Budget (Main)'!N65</f>
        <v>0</v>
      </c>
    </row>
    <row r="4" spans="1:12" ht="15.75" hidden="1">
      <c r="A4" s="49" t="s">
        <v>0</v>
      </c>
      <c r="B4" s="47">
        <f>'Crop Budget (Main)'!D23</f>
        <v>0</v>
      </c>
      <c r="C4" s="47">
        <f>'Crop Budget (Main)'!I23</f>
        <v>0</v>
      </c>
      <c r="D4" s="47">
        <f>'Crop Budget (Main)'!N23</f>
        <v>0</v>
      </c>
      <c r="I4" t="s">
        <v>448</v>
      </c>
      <c r="J4" s="48">
        <f>'Crop Budget (Main)'!D66</f>
        <v>0</v>
      </c>
      <c r="K4" s="48">
        <f>'Crop Budget (Main)'!I66</f>
        <v>0</v>
      </c>
      <c r="L4" s="48">
        <f>'Crop Budget (Main)'!N66</f>
        <v>0</v>
      </c>
    </row>
    <row r="5" spans="1:12" ht="15.75" hidden="1">
      <c r="A5" s="49" t="s">
        <v>1</v>
      </c>
      <c r="B5" s="47">
        <f>'Crop Budget (Main)'!D24</f>
        <v>0</v>
      </c>
      <c r="C5" s="47">
        <f>'Crop Budget (Main)'!I24</f>
        <v>0</v>
      </c>
      <c r="D5" s="47">
        <f>'Crop Budget (Main)'!N24</f>
        <v>0</v>
      </c>
    </row>
    <row r="6" spans="1:12" ht="15.75" hidden="1">
      <c r="A6" s="49" t="s">
        <v>315</v>
      </c>
      <c r="B6" s="47">
        <f>'Crop Budget (Main)'!D25</f>
        <v>0</v>
      </c>
      <c r="C6" s="47">
        <f>'Crop Budget (Main)'!I25</f>
        <v>0</v>
      </c>
      <c r="D6" s="47">
        <f>'Crop Budget (Main)'!N25</f>
        <v>0</v>
      </c>
    </row>
    <row r="7" spans="1:12" ht="15.75" hidden="1">
      <c r="A7" s="49" t="s">
        <v>316</v>
      </c>
      <c r="B7" s="47">
        <f>'Crop Budget (Main)'!D27</f>
        <v>0</v>
      </c>
      <c r="C7" s="47">
        <f>'Crop Budget (Main)'!I27</f>
        <v>0</v>
      </c>
      <c r="D7" s="47">
        <f>'Crop Budget (Main)'!N27</f>
        <v>0</v>
      </c>
    </row>
    <row r="8" spans="1:12" ht="15.75">
      <c r="A8" s="46" t="s">
        <v>278</v>
      </c>
      <c r="B8" s="47">
        <f>SUM(B9:B11)</f>
        <v>0</v>
      </c>
      <c r="C8" s="47">
        <f>SUM(C9:C11)</f>
        <v>0</v>
      </c>
      <c r="D8" s="47">
        <f>SUM(D9:D11)</f>
        <v>0</v>
      </c>
      <c r="I8" t="s">
        <v>448</v>
      </c>
      <c r="J8" s="1">
        <f>SUM(J2:J3)</f>
        <v>0</v>
      </c>
      <c r="K8" s="1">
        <f t="shared" ref="K8:L8" si="0">SUM(K2:K3)</f>
        <v>0</v>
      </c>
      <c r="L8" s="1">
        <f t="shared" si="0"/>
        <v>0</v>
      </c>
    </row>
    <row r="9" spans="1:12" ht="15.75" hidden="1">
      <c r="A9" s="49" t="s">
        <v>280</v>
      </c>
      <c r="B9" s="47">
        <f>'Crop Budget (Main)'!D30</f>
        <v>0</v>
      </c>
      <c r="C9" s="47">
        <f>'Crop Budget (Main)'!I30</f>
        <v>0</v>
      </c>
      <c r="D9" s="47">
        <f>'Crop Budget (Main)'!N30</f>
        <v>0</v>
      </c>
    </row>
    <row r="10" spans="1:12" ht="15.75" hidden="1">
      <c r="A10" s="49" t="s">
        <v>62</v>
      </c>
      <c r="B10" s="47">
        <f>'Crop Budget (Main)'!D31</f>
        <v>0</v>
      </c>
      <c r="C10" s="47">
        <f>'Crop Budget (Main)'!I31</f>
        <v>0</v>
      </c>
      <c r="D10" s="47">
        <f>'Crop Budget (Main)'!N31</f>
        <v>0</v>
      </c>
    </row>
    <row r="11" spans="1:12" ht="15.75" hidden="1">
      <c r="A11" s="49" t="s">
        <v>80</v>
      </c>
      <c r="B11" s="47">
        <f>'Crop Budget (Main)'!D32</f>
        <v>0</v>
      </c>
      <c r="C11" s="47">
        <f>'Crop Budget (Main)'!I32</f>
        <v>0</v>
      </c>
      <c r="D11" s="47">
        <f>'Crop Budget (Main)'!N32</f>
        <v>0</v>
      </c>
    </row>
    <row r="12" spans="1:12" ht="15.75">
      <c r="A12" s="46" t="s">
        <v>43</v>
      </c>
      <c r="B12" s="47">
        <f>'Crop Budget (Main)'!D33</f>
        <v>0</v>
      </c>
      <c r="C12" s="47">
        <f>'Crop Budget (Main)'!I33</f>
        <v>0</v>
      </c>
      <c r="D12" s="47">
        <f>'Crop Budget (Main)'!N33</f>
        <v>0</v>
      </c>
    </row>
    <row r="13" spans="1:12" ht="15.75">
      <c r="A13" s="46" t="s">
        <v>274</v>
      </c>
      <c r="B13" s="47">
        <f>'Crop Budget (Main)'!D34</f>
        <v>0</v>
      </c>
      <c r="C13" s="47">
        <f>'Crop Budget (Main)'!I34</f>
        <v>0</v>
      </c>
      <c r="D13" s="47">
        <f>'Crop Budget (Main)'!N34</f>
        <v>0</v>
      </c>
    </row>
    <row r="14" spans="1:12" ht="15.75">
      <c r="A14" s="46" t="s">
        <v>49</v>
      </c>
      <c r="B14" s="47">
        <f>'Crop Budget (Main)'!D35</f>
        <v>0</v>
      </c>
      <c r="C14" s="47">
        <f>'Crop Budget (Main)'!I35</f>
        <v>0</v>
      </c>
      <c r="D14" s="47">
        <f>'Crop Budget (Main)'!N35</f>
        <v>0</v>
      </c>
    </row>
    <row r="15" spans="1:12" ht="15.75">
      <c r="A15" s="46" t="s">
        <v>45</v>
      </c>
      <c r="B15" s="47">
        <f>SUM(B16:B17)</f>
        <v>0</v>
      </c>
      <c r="C15" s="47">
        <f>SUM(C16:C17)</f>
        <v>0</v>
      </c>
      <c r="D15" s="47">
        <f>SUM(D16:D17)</f>
        <v>0</v>
      </c>
    </row>
    <row r="16" spans="1:12" ht="15.75" hidden="1">
      <c r="A16" s="50" t="s">
        <v>46</v>
      </c>
      <c r="B16" s="47">
        <f>'Crop Budget (Main)'!D37</f>
        <v>0</v>
      </c>
      <c r="C16" s="47">
        <f>'Crop Budget (Main)'!I37</f>
        <v>0</v>
      </c>
      <c r="D16" s="47">
        <f>'Crop Budget (Main)'!N37</f>
        <v>0</v>
      </c>
    </row>
    <row r="17" spans="1:4" ht="15.75" hidden="1">
      <c r="A17" s="50" t="s">
        <v>47</v>
      </c>
      <c r="B17" s="47">
        <f>'Crop Budget (Main)'!D38</f>
        <v>0</v>
      </c>
      <c r="C17" s="47">
        <f>'Crop Budget (Main)'!I38</f>
        <v>0</v>
      </c>
      <c r="D17" s="47">
        <f>'Crop Budget (Main)'!N38</f>
        <v>0</v>
      </c>
    </row>
    <row r="18" spans="1:4" ht="15.75">
      <c r="A18" s="46" t="s">
        <v>48</v>
      </c>
      <c r="B18" s="47">
        <f>SUM(B19:B20)</f>
        <v>0</v>
      </c>
      <c r="C18" s="47">
        <f>SUM(C19:C20)</f>
        <v>0</v>
      </c>
      <c r="D18" s="47">
        <f>SUM(D19:D20)</f>
        <v>0</v>
      </c>
    </row>
    <row r="19" spans="1:4" ht="15.75" hidden="1">
      <c r="A19" s="51" t="s">
        <v>275</v>
      </c>
      <c r="B19" s="47">
        <f>'Crop Budget (Main)'!D40</f>
        <v>0</v>
      </c>
      <c r="C19" s="47">
        <f>'Crop Budget (Main)'!I40</f>
        <v>0</v>
      </c>
      <c r="D19" s="47">
        <f>'Crop Budget (Main)'!N40</f>
        <v>0</v>
      </c>
    </row>
    <row r="20" spans="1:4" ht="15.75" hidden="1">
      <c r="A20" s="51" t="s">
        <v>276</v>
      </c>
      <c r="B20" s="47">
        <f>'Crop Budget (Main)'!D41</f>
        <v>0</v>
      </c>
      <c r="C20" s="47">
        <f>'Crop Budget (Main)'!I41</f>
        <v>0</v>
      </c>
      <c r="D20" s="47">
        <f>'Crop Budget (Main)'!N41</f>
        <v>0</v>
      </c>
    </row>
    <row r="21" spans="1:4" ht="15.75">
      <c r="A21" s="46" t="s">
        <v>40</v>
      </c>
      <c r="B21" s="47">
        <f>SUM(B22:B24)</f>
        <v>0</v>
      </c>
      <c r="C21" s="47">
        <f>SUM(C22:C24)</f>
        <v>0</v>
      </c>
      <c r="D21" s="47">
        <f>SUM(D22:D24)</f>
        <v>0</v>
      </c>
    </row>
    <row r="22" spans="1:4" ht="15.75" hidden="1">
      <c r="A22" s="50" t="s">
        <v>41</v>
      </c>
      <c r="B22" s="47">
        <f>'Crop Budget (Main)'!D43</f>
        <v>0</v>
      </c>
      <c r="C22" s="47">
        <f>'Crop Budget (Main)'!I43</f>
        <v>0</v>
      </c>
      <c r="D22" s="47">
        <f>'Crop Budget (Main)'!N43</f>
        <v>0</v>
      </c>
    </row>
    <row r="23" spans="1:4" ht="15.75" hidden="1">
      <c r="A23" s="50" t="s">
        <v>42</v>
      </c>
      <c r="B23" s="47">
        <f>'Crop Budget (Main)'!D44</f>
        <v>0</v>
      </c>
      <c r="C23" s="47">
        <f>'Crop Budget (Main)'!I44</f>
        <v>0</v>
      </c>
      <c r="D23" s="47">
        <f>'Crop Budget (Main)'!N44</f>
        <v>0</v>
      </c>
    </row>
    <row r="24" spans="1:4" ht="15.75" hidden="1">
      <c r="A24" s="50" t="s">
        <v>179</v>
      </c>
      <c r="B24" s="47">
        <f>'Crop Budget (Main)'!D45</f>
        <v>0</v>
      </c>
      <c r="C24" s="47">
        <f>'Crop Budget (Main)'!I45</f>
        <v>0</v>
      </c>
      <c r="D24" s="47">
        <f>'Crop Budget (Main)'!N45</f>
        <v>0</v>
      </c>
    </row>
    <row r="25" spans="1:4" ht="15.75">
      <c r="A25" s="46" t="s">
        <v>44</v>
      </c>
      <c r="B25" s="47">
        <f>'Crop Budget (Main)'!D46</f>
        <v>0</v>
      </c>
      <c r="C25" s="47">
        <f>'Crop Budget (Main)'!I46</f>
        <v>0</v>
      </c>
      <c r="D25" s="47">
        <f>'Crop Budget (Main)'!N46</f>
        <v>0</v>
      </c>
    </row>
    <row r="26" spans="1:4" ht="15.75">
      <c r="A26" s="46" t="s">
        <v>50</v>
      </c>
      <c r="B26" s="47">
        <f>'Crop Budget (Main)'!D47</f>
        <v>0</v>
      </c>
      <c r="C26" s="47">
        <f>'Crop Budget (Main)'!I47</f>
        <v>0</v>
      </c>
      <c r="D26" s="47">
        <f>'Crop Budget (Main)'!N47</f>
        <v>0</v>
      </c>
    </row>
    <row r="27" spans="1:4" ht="15.75">
      <c r="A27" s="46" t="s">
        <v>51</v>
      </c>
      <c r="B27" s="47">
        <f>'Crop Budget (Main)'!D48</f>
        <v>0</v>
      </c>
      <c r="C27" s="47">
        <f>'Crop Budget (Main)'!I48</f>
        <v>0</v>
      </c>
      <c r="D27" s="47">
        <f>'Crop Budget (Main)'!N48</f>
        <v>0</v>
      </c>
    </row>
    <row r="28" spans="1:4" ht="15.75">
      <c r="A28" s="46" t="s">
        <v>52</v>
      </c>
      <c r="B28" s="47">
        <f>SUM(B29:B30)</f>
        <v>0</v>
      </c>
      <c r="C28" s="47">
        <f>SUM(C29:C30)</f>
        <v>0</v>
      </c>
      <c r="D28" s="47">
        <f>SUM(D29:D30)</f>
        <v>0</v>
      </c>
    </row>
    <row r="29" spans="1:4" ht="15.75" hidden="1">
      <c r="A29" s="50" t="s">
        <v>63</v>
      </c>
      <c r="B29" s="47">
        <f>'Crop Budget (Main)'!D50</f>
        <v>0</v>
      </c>
      <c r="C29" s="47">
        <f>'Crop Budget (Main)'!I50</f>
        <v>0</v>
      </c>
      <c r="D29" s="47">
        <f>'Crop Budget (Main)'!N50</f>
        <v>0</v>
      </c>
    </row>
    <row r="30" spans="1:4" ht="15.75" hidden="1">
      <c r="A30" s="50" t="s">
        <v>64</v>
      </c>
      <c r="B30" s="47">
        <f>'Crop Budget (Main)'!D51</f>
        <v>0</v>
      </c>
      <c r="C30" s="47">
        <f>'Crop Budget (Main)'!I51</f>
        <v>0</v>
      </c>
      <c r="D30" s="47">
        <f>'Crop Budget (Main)'!N51</f>
        <v>0</v>
      </c>
    </row>
    <row r="31" spans="1:4" ht="15.75">
      <c r="A31" s="46" t="s">
        <v>413</v>
      </c>
      <c r="B31" s="47">
        <f>'Crop Budget (Main)'!D52</f>
        <v>0</v>
      </c>
      <c r="C31" s="47">
        <f>'Crop Budget (Main)'!I52</f>
        <v>0</v>
      </c>
      <c r="D31" s="47">
        <f>'Crop Budget (Main)'!N52</f>
        <v>0</v>
      </c>
    </row>
    <row r="32" spans="1:4" ht="15.75" hidden="1">
      <c r="A32" s="2" t="s">
        <v>412</v>
      </c>
      <c r="B32" s="47">
        <f>'Crop Budget (Main)'!D53</f>
        <v>0</v>
      </c>
      <c r="C32" s="47">
        <f>'Crop Budget (Main)'!I53</f>
        <v>0</v>
      </c>
      <c r="D32" s="47">
        <f>'Crop Budget (Main)'!N53</f>
        <v>0</v>
      </c>
    </row>
    <row r="33" spans="1:4" ht="15.75" hidden="1">
      <c r="A33" s="46" t="s">
        <v>449</v>
      </c>
      <c r="B33" s="47">
        <f>'Crop Budget (Main)'!D54</f>
        <v>0</v>
      </c>
      <c r="C33" s="47">
        <f>'Crop Budget (Main)'!I54</f>
        <v>0</v>
      </c>
      <c r="D33" s="47">
        <f>'Crop Budget (Main)'!N54</f>
        <v>0</v>
      </c>
    </row>
    <row r="34" spans="1:4" ht="15.75">
      <c r="A34" s="2" t="s">
        <v>277</v>
      </c>
      <c r="B34" s="47">
        <f>'Crop Budget (Main)'!D59</f>
        <v>0</v>
      </c>
      <c r="C34" s="47">
        <f>'Crop Budget (Main)'!I59</f>
        <v>0</v>
      </c>
      <c r="D34" s="47">
        <f>'Crop Budget (Main)'!N59</f>
        <v>0</v>
      </c>
    </row>
    <row r="35" spans="1:4" ht="15.75" hidden="1">
      <c r="A35" s="2" t="s">
        <v>427</v>
      </c>
      <c r="B35" s="47">
        <f>'Crop Budget (Main)'!D60</f>
        <v>0</v>
      </c>
      <c r="C35" s="47">
        <f>'Crop Budget (Main)'!I60</f>
        <v>0</v>
      </c>
      <c r="D35" s="47">
        <f>'Crop Budget (Main)'!N60</f>
        <v>0</v>
      </c>
    </row>
    <row r="36" spans="1:4" ht="15.75">
      <c r="A36" s="2" t="s">
        <v>180</v>
      </c>
      <c r="B36" s="47">
        <f>'Crop Budget (Main)'!D61</f>
        <v>0</v>
      </c>
      <c r="C36" s="47">
        <f>'Crop Budget (Main)'!I61</f>
        <v>0</v>
      </c>
      <c r="D36" s="47">
        <f>'Crop Budget (Main)'!N61</f>
        <v>0</v>
      </c>
    </row>
    <row r="37" spans="1:4" ht="15.75">
      <c r="A37" s="2" t="s">
        <v>450</v>
      </c>
      <c r="B37" s="47">
        <f>'Crop Budget (Main)'!D62</f>
        <v>0</v>
      </c>
      <c r="C37" s="47">
        <f>'Crop Budget (Main)'!I62</f>
        <v>0</v>
      </c>
      <c r="D37" s="47">
        <f>'Crop Budget (Main)'!N62</f>
        <v>0</v>
      </c>
    </row>
    <row r="38" spans="1:4" ht="15.75" hidden="1">
      <c r="A38" s="2" t="s">
        <v>451</v>
      </c>
      <c r="B38" s="47">
        <f>'Crop Budget (Main)'!D64</f>
        <v>0</v>
      </c>
      <c r="C38" s="47">
        <f>'Crop Budget (Main)'!I64</f>
        <v>0</v>
      </c>
      <c r="D38" s="47">
        <f>'Crop Budget (Main)'!N64</f>
        <v>0</v>
      </c>
    </row>
    <row r="39" spans="1:4" ht="15.75">
      <c r="A39" s="2" t="s">
        <v>452</v>
      </c>
      <c r="B39" s="47">
        <f>B38+B33</f>
        <v>0</v>
      </c>
      <c r="C39" s="47">
        <f t="shared" ref="C39:D39" si="1">C38+C33</f>
        <v>0</v>
      </c>
      <c r="D39" s="47">
        <f t="shared" si="1"/>
        <v>0</v>
      </c>
    </row>
    <row r="40" spans="1:4" ht="15.75">
      <c r="A40" s="2" t="s">
        <v>310</v>
      </c>
      <c r="B40" s="47">
        <f>'Crop Budget (Main)'!D71</f>
        <v>0</v>
      </c>
      <c r="C40" s="47">
        <f>'Crop Budget (Main)'!I71</f>
        <v>0</v>
      </c>
      <c r="D40" s="47">
        <f>'Crop Budget (Main)'!N71</f>
        <v>0</v>
      </c>
    </row>
    <row r="41" spans="1:4" ht="15.75">
      <c r="A41" s="2" t="s">
        <v>453</v>
      </c>
      <c r="B41" s="47">
        <f>'Crop Budget (Main)'!D72</f>
        <v>0</v>
      </c>
      <c r="C41" s="47">
        <f>'Crop Budget (Main)'!I72</f>
        <v>0</v>
      </c>
      <c r="D41" s="47">
        <f>'Crop Budget (Main)'!N72</f>
        <v>0</v>
      </c>
    </row>
    <row r="42" spans="1:4" ht="15.75" hidden="1">
      <c r="A42" s="2" t="s">
        <v>414</v>
      </c>
      <c r="B42" s="47">
        <f>'Crop Budget (Main)'!D63</f>
        <v>0</v>
      </c>
      <c r="C42" s="47">
        <f>'Crop Budget (Main)'!I63</f>
        <v>0</v>
      </c>
      <c r="D42" s="47">
        <f>'Crop Budget (Main)'!N63</f>
        <v>0</v>
      </c>
    </row>
    <row r="43" spans="1:4" ht="15.75">
      <c r="A43" s="2" t="s">
        <v>454</v>
      </c>
      <c r="B43" s="47">
        <f>B42+B32</f>
        <v>0</v>
      </c>
      <c r="C43" s="47">
        <f t="shared" ref="C43:D43" si="2">C42+C32</f>
        <v>0</v>
      </c>
      <c r="D43" s="47">
        <f t="shared" si="2"/>
        <v>0</v>
      </c>
    </row>
    <row r="44" spans="1:4" ht="15.75">
      <c r="A44" s="2" t="s">
        <v>311</v>
      </c>
      <c r="B44" s="47">
        <f>'Crop Budget (Main)'!D73</f>
        <v>0</v>
      </c>
      <c r="C44" s="47">
        <f>'Crop Budget (Main)'!I73</f>
        <v>0</v>
      </c>
      <c r="D44" s="47">
        <f>'Crop Budget (Main)'!N73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AA56-6BD1-4D0E-8018-B03ADC3558E7}">
  <dimension ref="A1:X60"/>
  <sheetViews>
    <sheetView topLeftCell="A41" workbookViewId="0">
      <selection activeCell="M35" sqref="M35"/>
    </sheetView>
  </sheetViews>
  <sheetFormatPr defaultRowHeight="15"/>
  <sheetData>
    <row r="1" spans="1:24" s="7" customFormat="1" ht="18.75">
      <c r="A1" s="594" t="s">
        <v>445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13"/>
      <c r="W1" s="13"/>
      <c r="X1" s="6"/>
    </row>
    <row r="2" spans="1:24" s="7" customFormat="1" ht="18.75">
      <c r="A2" s="39"/>
      <c r="Q2" s="6"/>
      <c r="R2" s="6"/>
      <c r="S2" s="13"/>
      <c r="T2" s="13"/>
      <c r="U2" s="40"/>
      <c r="V2" s="13"/>
      <c r="W2" s="13"/>
      <c r="X2" s="6"/>
    </row>
    <row r="3" spans="1:24" s="7" customFormat="1" ht="18.75">
      <c r="A3" s="39"/>
      <c r="Q3" s="6"/>
      <c r="R3" s="6"/>
      <c r="S3" s="13"/>
      <c r="T3" s="13"/>
      <c r="U3" s="40"/>
      <c r="V3" s="13"/>
      <c r="W3" s="13"/>
      <c r="X3" s="6"/>
    </row>
    <row r="4" spans="1:24" s="7" customFormat="1" ht="18.75">
      <c r="A4" s="39"/>
      <c r="Q4" s="6"/>
      <c r="R4" s="6"/>
      <c r="S4" s="13"/>
      <c r="T4" s="13"/>
      <c r="U4" s="40"/>
      <c r="V4" s="13"/>
      <c r="W4" s="13"/>
      <c r="X4" s="6"/>
    </row>
    <row r="5" spans="1:24" s="7" customFormat="1" ht="18.75">
      <c r="A5" s="39"/>
      <c r="Q5" s="6"/>
      <c r="R5" s="6"/>
      <c r="S5" s="13"/>
      <c r="T5" s="13"/>
      <c r="U5" s="40"/>
      <c r="V5" s="13"/>
      <c r="W5" s="13"/>
      <c r="X5" s="6"/>
    </row>
    <row r="6" spans="1:24" s="7" customFormat="1" ht="18.75">
      <c r="A6" s="39"/>
      <c r="Q6" s="6"/>
      <c r="R6" s="6"/>
      <c r="S6" s="13"/>
      <c r="T6" s="13"/>
      <c r="U6" s="40"/>
      <c r="V6" s="13"/>
      <c r="W6" s="13"/>
      <c r="X6" s="6"/>
    </row>
    <row r="7" spans="1:24" s="7" customFormat="1" ht="18.75">
      <c r="A7" s="39"/>
      <c r="Q7" s="6"/>
      <c r="R7" s="6"/>
      <c r="S7" s="13"/>
      <c r="T7" s="13"/>
      <c r="U7" s="40"/>
      <c r="V7" s="13"/>
      <c r="W7" s="13"/>
      <c r="X7" s="6"/>
    </row>
    <row r="8" spans="1:24" s="7" customFormat="1" ht="18.75">
      <c r="A8" s="4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Q8" s="6"/>
      <c r="R8" s="6"/>
      <c r="S8" s="13"/>
      <c r="T8" s="13"/>
      <c r="U8" s="42"/>
      <c r="V8" s="13"/>
      <c r="W8" s="13"/>
      <c r="X8" s="6"/>
    </row>
    <row r="9" spans="1:24" s="7" customFormat="1" ht="18.75">
      <c r="A9" s="39"/>
      <c r="Q9" s="6"/>
      <c r="R9" s="6"/>
      <c r="S9" s="13"/>
      <c r="T9" s="13"/>
      <c r="U9" s="40"/>
      <c r="V9" s="13"/>
      <c r="W9" s="13"/>
      <c r="X9" s="6"/>
    </row>
    <row r="10" spans="1:24" s="7" customFormat="1" ht="18.75">
      <c r="A10" s="39"/>
      <c r="Q10" s="6"/>
      <c r="R10" s="6"/>
      <c r="S10" s="13"/>
      <c r="T10" s="13"/>
      <c r="U10" s="40"/>
      <c r="V10" s="13"/>
      <c r="W10" s="13"/>
      <c r="X10" s="6"/>
    </row>
    <row r="11" spans="1:24" s="7" customFormat="1" ht="18.75">
      <c r="A11" s="39"/>
      <c r="Q11" s="6"/>
      <c r="R11" s="6"/>
      <c r="S11" s="13"/>
      <c r="T11" s="13"/>
      <c r="U11" s="40"/>
      <c r="V11" s="13"/>
      <c r="W11" s="13"/>
      <c r="X11" s="6"/>
    </row>
    <row r="12" spans="1:24" s="7" customFormat="1" ht="18.75">
      <c r="A12" s="39"/>
      <c r="Q12" s="6"/>
      <c r="R12" s="6"/>
      <c r="S12" s="13"/>
      <c r="T12" s="13"/>
      <c r="U12" s="40"/>
      <c r="V12" s="13"/>
      <c r="W12" s="13"/>
      <c r="X12" s="6"/>
    </row>
    <row r="13" spans="1:24" s="7" customFormat="1" ht="18.75">
      <c r="A13" s="39"/>
      <c r="Q13" s="6"/>
      <c r="R13" s="6"/>
      <c r="S13" s="13"/>
      <c r="T13" s="13"/>
      <c r="U13" s="40"/>
      <c r="V13" s="13"/>
      <c r="W13" s="13"/>
      <c r="X13" s="6"/>
    </row>
    <row r="14" spans="1:24" s="7" customFormat="1" ht="18.75">
      <c r="A14" s="39"/>
      <c r="Q14" s="6"/>
      <c r="R14" s="6"/>
      <c r="S14" s="13"/>
      <c r="T14" s="13"/>
      <c r="U14" s="40"/>
      <c r="V14" s="13"/>
      <c r="W14" s="13"/>
      <c r="X14" s="6"/>
    </row>
    <row r="15" spans="1:24" s="7" customFormat="1" ht="18.75">
      <c r="A15" s="39"/>
      <c r="Q15" s="6"/>
      <c r="R15" s="6"/>
      <c r="S15" s="13"/>
      <c r="T15" s="13"/>
      <c r="U15" s="40"/>
      <c r="V15" s="13"/>
      <c r="W15" s="13"/>
      <c r="X15" s="6"/>
    </row>
    <row r="16" spans="1:24" s="7" customFormat="1" ht="18.75">
      <c r="A16" s="39"/>
      <c r="Q16" s="6"/>
      <c r="R16" s="6"/>
      <c r="S16" s="13"/>
      <c r="T16" s="13"/>
      <c r="U16" s="40"/>
      <c r="V16" s="13"/>
      <c r="W16" s="13"/>
      <c r="X16" s="6"/>
    </row>
    <row r="17" spans="1:24" s="7" customFormat="1" ht="18.75">
      <c r="A17" s="39"/>
      <c r="Q17" s="6"/>
      <c r="R17" s="6"/>
      <c r="S17" s="13"/>
      <c r="T17" s="13"/>
      <c r="U17" s="40"/>
      <c r="V17" s="13"/>
      <c r="W17" s="13"/>
      <c r="X17" s="6"/>
    </row>
    <row r="18" spans="1:24" s="7" customFormat="1" ht="18.75">
      <c r="A18" s="39"/>
      <c r="Q18" s="6"/>
      <c r="R18" s="6"/>
      <c r="S18" s="13"/>
      <c r="T18" s="13"/>
      <c r="U18" s="40"/>
      <c r="V18" s="13"/>
      <c r="W18" s="13"/>
      <c r="X18" s="6"/>
    </row>
    <row r="19" spans="1:24" s="7" customFormat="1" ht="18.75">
      <c r="A19" s="39"/>
      <c r="Q19" s="6"/>
      <c r="R19" s="6"/>
      <c r="S19" s="13"/>
      <c r="T19" s="13"/>
      <c r="U19" s="40"/>
      <c r="V19" s="13"/>
      <c r="W19" s="13"/>
      <c r="X19" s="6"/>
    </row>
    <row r="20" spans="1:24" s="7" customFormat="1" ht="18.75">
      <c r="A20" s="39"/>
      <c r="Q20" s="6"/>
      <c r="R20" s="6"/>
      <c r="S20" s="13"/>
      <c r="T20" s="13"/>
      <c r="U20" s="40"/>
      <c r="V20" s="13"/>
      <c r="W20" s="13"/>
      <c r="X20" s="6"/>
    </row>
    <row r="21" spans="1:24" s="7" customFormat="1" ht="18.75">
      <c r="A21" s="39"/>
      <c r="Q21" s="6"/>
      <c r="R21" s="6"/>
      <c r="S21" s="13"/>
      <c r="T21" s="13"/>
      <c r="U21" s="40"/>
      <c r="V21" s="13"/>
      <c r="W21" s="13"/>
      <c r="X21" s="6"/>
    </row>
    <row r="22" spans="1:24" s="7" customFormat="1" ht="18.75">
      <c r="A22" s="39"/>
      <c r="Q22" s="6"/>
      <c r="R22" s="6"/>
      <c r="S22" s="13"/>
      <c r="T22" s="13"/>
      <c r="U22" s="40"/>
      <c r="V22" s="13"/>
      <c r="W22" s="13"/>
      <c r="X22" s="6"/>
    </row>
    <row r="23" spans="1:24" s="7" customFormat="1" ht="18.75">
      <c r="A23" s="39"/>
      <c r="Q23" s="6"/>
      <c r="R23" s="6"/>
      <c r="S23" s="13"/>
      <c r="T23" s="13"/>
      <c r="U23" s="40"/>
      <c r="V23" s="13"/>
      <c r="W23" s="13"/>
      <c r="X23" s="6"/>
    </row>
    <row r="24" spans="1:24" s="7" customFormat="1" ht="18.75">
      <c r="A24" s="39"/>
      <c r="Q24" s="6"/>
      <c r="R24" s="6"/>
      <c r="S24" s="13"/>
      <c r="T24" s="13"/>
      <c r="U24" s="40"/>
      <c r="V24" s="13"/>
      <c r="W24" s="13"/>
      <c r="X24" s="6"/>
    </row>
    <row r="25" spans="1:24" s="7" customFormat="1" ht="18.75">
      <c r="A25" s="39"/>
      <c r="Q25" s="6"/>
      <c r="R25" s="6"/>
      <c r="S25" s="13"/>
      <c r="T25" s="13"/>
      <c r="U25" s="40"/>
      <c r="V25" s="13"/>
      <c r="W25" s="13"/>
      <c r="X25" s="6"/>
    </row>
    <row r="26" spans="1:24" s="7" customFormat="1" ht="18.75">
      <c r="A26" s="39"/>
      <c r="Q26" s="6"/>
      <c r="R26" s="6"/>
      <c r="S26" s="13"/>
      <c r="T26" s="13"/>
      <c r="U26" s="40"/>
      <c r="V26" s="13"/>
      <c r="W26" s="13"/>
      <c r="X26" s="6"/>
    </row>
    <row r="27" spans="1:24" s="7" customFormat="1" ht="18.75">
      <c r="A27" s="39"/>
      <c r="Q27" s="6"/>
      <c r="R27" s="6"/>
      <c r="S27" s="13"/>
      <c r="T27" s="13"/>
      <c r="U27" s="40"/>
      <c r="V27" s="13"/>
      <c r="W27" s="13"/>
      <c r="X27" s="6"/>
    </row>
    <row r="28" spans="1:24" s="7" customFormat="1" ht="18.75">
      <c r="A28" s="39"/>
      <c r="Q28" s="6"/>
      <c r="R28" s="6"/>
      <c r="S28" s="13"/>
      <c r="T28" s="13"/>
      <c r="U28" s="40"/>
      <c r="V28" s="13"/>
      <c r="W28" s="13"/>
      <c r="X28" s="6"/>
    </row>
    <row r="29" spans="1:24" s="7" customFormat="1" ht="18.75">
      <c r="A29" s="39"/>
      <c r="Q29" s="6"/>
      <c r="R29" s="6"/>
      <c r="S29" s="13"/>
      <c r="T29" s="13"/>
      <c r="U29" s="40"/>
      <c r="V29" s="13"/>
      <c r="W29" s="13"/>
      <c r="X29" s="6"/>
    </row>
    <row r="30" spans="1:24" s="7" customFormat="1" ht="18.75">
      <c r="A30" s="39"/>
      <c r="Q30" s="6"/>
      <c r="R30" s="6"/>
      <c r="S30" s="13"/>
      <c r="T30" s="13"/>
      <c r="U30" s="40"/>
      <c r="V30" s="13"/>
      <c r="W30" s="13"/>
      <c r="X30" s="6"/>
    </row>
    <row r="31" spans="1:24" s="7" customFormat="1" ht="18.75">
      <c r="A31" s="39"/>
      <c r="Q31" s="6"/>
      <c r="R31" s="6"/>
      <c r="S31" s="13"/>
      <c r="T31" s="13"/>
      <c r="U31" s="40"/>
      <c r="V31" s="13"/>
      <c r="W31" s="13"/>
      <c r="X31" s="6"/>
    </row>
    <row r="32" spans="1:24" s="7" customFormat="1" ht="18.75">
      <c r="A32" s="39"/>
      <c r="Q32" s="6"/>
      <c r="R32" s="6"/>
      <c r="S32" s="13"/>
      <c r="T32" s="13"/>
      <c r="U32" s="40"/>
      <c r="V32" s="13"/>
      <c r="W32" s="13"/>
      <c r="X32" s="6"/>
    </row>
    <row r="33" spans="1:24" s="7" customFormat="1" ht="18.75">
      <c r="A33" s="39"/>
      <c r="Q33" s="6"/>
      <c r="R33" s="6"/>
      <c r="S33" s="13"/>
      <c r="T33" s="13"/>
      <c r="U33" s="40"/>
      <c r="V33" s="13"/>
      <c r="W33" s="13"/>
      <c r="X33" s="6"/>
    </row>
    <row r="34" spans="1:24" s="7" customFormat="1" ht="18.75">
      <c r="A34" s="39"/>
      <c r="Q34" s="6"/>
      <c r="R34" s="6"/>
      <c r="S34" s="13"/>
      <c r="T34" s="13"/>
      <c r="U34" s="40"/>
      <c r="V34" s="13"/>
      <c r="W34" s="13"/>
      <c r="X34" s="6"/>
    </row>
    <row r="35" spans="1:24" s="7" customFormat="1" ht="18.75">
      <c r="A35" s="39"/>
      <c r="Q35" s="6"/>
      <c r="R35" s="6"/>
      <c r="S35" s="13"/>
      <c r="T35" s="13"/>
      <c r="U35" s="40"/>
      <c r="V35" s="13"/>
      <c r="W35" s="13"/>
      <c r="X35" s="6"/>
    </row>
    <row r="36" spans="1:24" s="7" customFormat="1" ht="18.75">
      <c r="A36" s="39"/>
      <c r="Q36" s="6"/>
      <c r="R36" s="6"/>
      <c r="S36" s="13"/>
      <c r="T36" s="13"/>
      <c r="U36" s="40"/>
      <c r="V36" s="13"/>
      <c r="W36" s="13"/>
      <c r="X36" s="6"/>
    </row>
    <row r="37" spans="1:24" s="7" customFormat="1" ht="18.75">
      <c r="A37" s="39"/>
      <c r="Q37" s="6"/>
      <c r="R37" s="6"/>
      <c r="S37" s="13"/>
      <c r="T37" s="13"/>
      <c r="U37" s="40"/>
      <c r="V37" s="13"/>
      <c r="W37" s="13"/>
      <c r="X37" s="6"/>
    </row>
    <row r="38" spans="1:24" s="7" customFormat="1" ht="18.75">
      <c r="A38" s="39"/>
      <c r="Q38" s="6"/>
      <c r="R38" s="6"/>
      <c r="S38" s="13"/>
      <c r="T38" s="13"/>
      <c r="U38" s="40"/>
      <c r="V38" s="13"/>
      <c r="W38" s="13"/>
      <c r="X38" s="6"/>
    </row>
    <row r="39" spans="1:24" s="7" customFormat="1" ht="18.75">
      <c r="A39" s="39"/>
      <c r="Q39" s="6"/>
      <c r="R39" s="6"/>
      <c r="S39" s="13"/>
      <c r="T39" s="13"/>
      <c r="U39" s="40"/>
      <c r="V39" s="13"/>
      <c r="W39" s="13"/>
      <c r="X39" s="6"/>
    </row>
    <row r="40" spans="1:24" s="7" customFormat="1" ht="18.75">
      <c r="A40" s="39"/>
      <c r="Q40" s="6"/>
      <c r="R40" s="6"/>
      <c r="S40" s="13"/>
      <c r="T40" s="13"/>
      <c r="U40" s="40"/>
      <c r="V40" s="13"/>
      <c r="W40" s="13"/>
      <c r="X40" s="6"/>
    </row>
    <row r="41" spans="1:24" s="7" customFormat="1" ht="18.75">
      <c r="A41" s="39"/>
      <c r="Q41" s="6"/>
      <c r="R41" s="6"/>
      <c r="S41" s="13"/>
      <c r="T41" s="13"/>
      <c r="U41" s="40"/>
      <c r="V41" s="13"/>
      <c r="W41" s="13"/>
      <c r="X41" s="6"/>
    </row>
    <row r="42" spans="1:24" s="7" customFormat="1" ht="18.75">
      <c r="A42" s="39"/>
      <c r="Q42" s="6"/>
      <c r="R42" s="6"/>
      <c r="S42" s="13"/>
      <c r="T42" s="13"/>
      <c r="U42" s="40"/>
      <c r="V42" s="13"/>
      <c r="W42" s="13"/>
      <c r="X42" s="6"/>
    </row>
    <row r="43" spans="1:24" s="7" customFormat="1" ht="18.75">
      <c r="A43" s="39"/>
      <c r="Q43" s="6"/>
      <c r="R43" s="6"/>
      <c r="S43" s="13"/>
      <c r="T43" s="13"/>
      <c r="U43" s="40"/>
      <c r="V43" s="13"/>
      <c r="W43" s="13"/>
      <c r="X43" s="6"/>
    </row>
    <row r="44" spans="1:24" s="7" customFormat="1" ht="18.75">
      <c r="A44" s="39"/>
      <c r="Q44" s="6"/>
      <c r="R44" s="6"/>
      <c r="S44" s="13"/>
      <c r="T44" s="13"/>
      <c r="U44" s="40"/>
      <c r="V44" s="13"/>
      <c r="W44" s="13"/>
      <c r="X44" s="6"/>
    </row>
    <row r="45" spans="1:24" s="7" customFormat="1" ht="18.75">
      <c r="A45" s="39"/>
      <c r="Q45" s="6"/>
      <c r="R45" s="6"/>
      <c r="S45" s="13"/>
      <c r="T45" s="13"/>
      <c r="U45" s="40"/>
      <c r="V45" s="13"/>
      <c r="W45" s="13"/>
      <c r="X45" s="6"/>
    </row>
    <row r="46" spans="1:24" s="7" customFormat="1" ht="18.75">
      <c r="A46" s="39"/>
      <c r="Q46" s="6"/>
      <c r="R46" s="6"/>
      <c r="S46" s="13"/>
      <c r="T46" s="13"/>
      <c r="U46" s="40"/>
      <c r="V46" s="13"/>
      <c r="W46" s="13"/>
      <c r="X46" s="6"/>
    </row>
    <row r="47" spans="1:24" s="7" customFormat="1" ht="18.75">
      <c r="A47" s="39"/>
      <c r="Q47" s="6"/>
      <c r="R47" s="6"/>
      <c r="S47" s="13"/>
      <c r="T47" s="13"/>
      <c r="U47" s="40"/>
      <c r="V47" s="13"/>
      <c r="W47" s="13"/>
      <c r="X47" s="6"/>
    </row>
    <row r="48" spans="1:24" s="7" customFormat="1" ht="18.75">
      <c r="A48" s="39"/>
      <c r="Q48" s="6"/>
      <c r="R48" s="6"/>
      <c r="S48" s="13"/>
      <c r="T48" s="13"/>
      <c r="U48" s="40"/>
      <c r="V48" s="13"/>
      <c r="W48" s="13"/>
      <c r="X48" s="6"/>
    </row>
    <row r="49" spans="1:24" s="7" customFormat="1" ht="18.75">
      <c r="A49" s="39"/>
      <c r="Q49" s="6"/>
      <c r="R49" s="6"/>
      <c r="S49" s="13"/>
      <c r="T49" s="13"/>
      <c r="U49" s="40"/>
      <c r="V49" s="13"/>
      <c r="W49" s="13"/>
      <c r="X49" s="6"/>
    </row>
    <row r="50" spans="1:24" s="7" customFormat="1" ht="18.75">
      <c r="A50" s="39"/>
      <c r="Q50" s="6"/>
      <c r="R50" s="6"/>
      <c r="S50" s="13"/>
      <c r="T50" s="13"/>
      <c r="U50" s="40"/>
      <c r="V50" s="13"/>
      <c r="W50" s="13"/>
      <c r="X50" s="6"/>
    </row>
    <row r="51" spans="1:24" s="7" customFormat="1" ht="18.75">
      <c r="A51" s="39"/>
      <c r="Q51" s="6"/>
      <c r="R51" s="6"/>
      <c r="S51" s="13"/>
      <c r="T51" s="13"/>
      <c r="U51" s="40"/>
      <c r="V51" s="13"/>
      <c r="W51" s="13"/>
      <c r="X51" s="6"/>
    </row>
    <row r="52" spans="1:24" s="7" customFormat="1" ht="18.75">
      <c r="A52" s="39"/>
      <c r="Q52" s="6"/>
      <c r="R52" s="6"/>
      <c r="S52" s="13"/>
      <c r="T52" s="13"/>
      <c r="U52" s="40"/>
      <c r="V52" s="13"/>
      <c r="W52" s="13"/>
      <c r="X52" s="6"/>
    </row>
    <row r="53" spans="1:24" s="7" customFormat="1" ht="18.75">
      <c r="A53" s="39"/>
      <c r="Q53" s="6"/>
      <c r="R53" s="6"/>
      <c r="S53" s="13"/>
      <c r="T53" s="13"/>
      <c r="U53" s="40"/>
      <c r="V53" s="13"/>
      <c r="W53" s="13"/>
      <c r="X53" s="6"/>
    </row>
    <row r="54" spans="1:24" s="7" customFormat="1" ht="18.75">
      <c r="A54" s="39"/>
      <c r="Q54" s="6"/>
      <c r="R54" s="6"/>
      <c r="S54" s="13"/>
      <c r="T54" s="13"/>
      <c r="U54" s="40"/>
      <c r="V54" s="13"/>
      <c r="W54" s="13"/>
      <c r="X54" s="6"/>
    </row>
    <row r="55" spans="1:24" s="7" customFormat="1" ht="18.75">
      <c r="A55" s="39"/>
      <c r="Q55" s="6"/>
      <c r="R55" s="6"/>
      <c r="S55" s="13"/>
      <c r="T55" s="13"/>
      <c r="U55" s="40"/>
      <c r="V55" s="13"/>
      <c r="W55" s="13"/>
      <c r="X55" s="6"/>
    </row>
    <row r="56" spans="1:24" s="7" customFormat="1" ht="18.75">
      <c r="A56" s="39"/>
      <c r="Q56" s="6"/>
      <c r="R56" s="6"/>
      <c r="S56" s="13"/>
      <c r="T56" s="13"/>
      <c r="U56" s="40"/>
      <c r="V56" s="13"/>
      <c r="W56" s="13"/>
      <c r="X56" s="6"/>
    </row>
    <row r="57" spans="1:24" s="7" customFormat="1" ht="18.75">
      <c r="A57" s="39"/>
      <c r="Q57" s="6"/>
      <c r="R57" s="6"/>
      <c r="S57" s="13"/>
      <c r="T57" s="13"/>
      <c r="U57" s="40"/>
      <c r="V57" s="13"/>
      <c r="W57" s="13"/>
      <c r="X57" s="6"/>
    </row>
    <row r="58" spans="1:24" s="7" customFormat="1" ht="18.75">
      <c r="A58" s="39"/>
      <c r="Q58" s="6"/>
      <c r="R58" s="6"/>
      <c r="S58" s="13"/>
      <c r="T58" s="13"/>
      <c r="U58" s="40"/>
      <c r="V58" s="13"/>
      <c r="W58" s="13"/>
      <c r="X58" s="6"/>
    </row>
    <row r="59" spans="1:24" s="7" customFormat="1" ht="18.75">
      <c r="A59" s="39"/>
      <c r="Q59" s="6"/>
      <c r="R59" s="6"/>
      <c r="S59" s="13"/>
      <c r="T59" s="13"/>
      <c r="U59" s="40"/>
      <c r="V59" s="13"/>
      <c r="W59" s="13"/>
      <c r="X59" s="6"/>
    </row>
    <row r="60" spans="1:24" s="7" customFormat="1" ht="19.5" thickBot="1">
      <c r="A60" s="4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5"/>
      <c r="V60" s="13"/>
      <c r="W60" s="13"/>
      <c r="X60" s="6"/>
    </row>
  </sheetData>
  <mergeCells count="1">
    <mergeCell ref="A1:U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2C5C-D7AF-4B1D-A8AD-1B165356E4B7}">
  <dimension ref="A1:G57"/>
  <sheetViews>
    <sheetView workbookViewId="0">
      <selection activeCell="B18" sqref="B18"/>
    </sheetView>
  </sheetViews>
  <sheetFormatPr defaultColWidth="9.140625" defaultRowHeight="15"/>
  <cols>
    <col min="1" max="1" width="15" bestFit="1" customWidth="1"/>
    <col min="2" max="2" width="23.85546875" bestFit="1" customWidth="1"/>
    <col min="3" max="3" width="12.5703125" bestFit="1" customWidth="1"/>
    <col min="4" max="4" width="9.85546875" bestFit="1" customWidth="1"/>
    <col min="5" max="5" width="16.85546875" bestFit="1" customWidth="1"/>
    <col min="6" max="6" width="31.28515625" bestFit="1" customWidth="1"/>
    <col min="7" max="7" width="14.42578125" bestFit="1" customWidth="1"/>
  </cols>
  <sheetData>
    <row r="1" spans="1:7" ht="18.75">
      <c r="A1" s="596" t="s">
        <v>455</v>
      </c>
      <c r="B1" s="596"/>
      <c r="C1" s="596"/>
      <c r="D1" s="596"/>
      <c r="E1" s="596"/>
      <c r="F1" s="596"/>
      <c r="G1" s="596"/>
    </row>
    <row r="2" spans="1:7" ht="15.75">
      <c r="B2" s="52"/>
      <c r="C2" s="53" t="s">
        <v>456</v>
      </c>
      <c r="D2" s="53" t="s">
        <v>61</v>
      </c>
      <c r="E2" s="53" t="s">
        <v>457</v>
      </c>
      <c r="F2" s="53" t="s">
        <v>458</v>
      </c>
      <c r="G2" s="307" t="s">
        <v>487</v>
      </c>
    </row>
    <row r="3" spans="1:7" ht="15.75">
      <c r="B3" s="54"/>
      <c r="C3" s="55"/>
      <c r="D3" s="56" t="s">
        <v>68</v>
      </c>
      <c r="E3" s="55"/>
      <c r="F3" s="57"/>
      <c r="G3" s="2"/>
    </row>
    <row r="4" spans="1:7" ht="15.75">
      <c r="B4" t="str">
        <f>'Crop Budget (Main)'!D5</f>
        <v>Enter Crop Name</v>
      </c>
      <c r="C4" s="309">
        <f>'Crop Budget (Main)'!D11</f>
        <v>0</v>
      </c>
      <c r="D4" s="58">
        <v>224</v>
      </c>
      <c r="E4" s="310">
        <f>'Crop Budget (Main)'!D17</f>
        <v>0</v>
      </c>
      <c r="F4" s="310">
        <f>'Crop Budget (Main)'!D66</f>
        <v>0</v>
      </c>
      <c r="G4" s="308">
        <f>E4-F4</f>
        <v>0</v>
      </c>
    </row>
    <row r="5" spans="1:7" ht="15.75">
      <c r="B5" t="str">
        <f>'Crop Budget (Main)'!I5</f>
        <v>Enter Crop Name</v>
      </c>
      <c r="C5" s="309">
        <f>'Crop Budget (Main)'!I11</f>
        <v>0</v>
      </c>
      <c r="D5" s="58">
        <v>244</v>
      </c>
      <c r="E5" s="310">
        <f>'Crop Budget (Main)'!I17</f>
        <v>0</v>
      </c>
      <c r="F5" s="310">
        <f>'Crop Budget (Main)'!I66</f>
        <v>0</v>
      </c>
      <c r="G5" s="308">
        <f t="shared" ref="G5:G6" si="0">E5-F5</f>
        <v>0</v>
      </c>
    </row>
    <row r="6" spans="1:7" ht="15.75">
      <c r="B6" t="str">
        <f>'Crop Budget (Main)'!N5</f>
        <v>Enter Crop Name</v>
      </c>
      <c r="C6" s="309">
        <f>'Crop Budget (Main)'!N11</f>
        <v>0</v>
      </c>
      <c r="D6" s="58">
        <v>218</v>
      </c>
      <c r="E6" s="310">
        <f>'Crop Budget (Main)'!N17</f>
        <v>0</v>
      </c>
      <c r="F6" s="310">
        <f>'Crop Budget (Main)'!N66</f>
        <v>0</v>
      </c>
      <c r="G6" s="308">
        <f t="shared" si="0"/>
        <v>0</v>
      </c>
    </row>
    <row r="8" spans="1:7">
      <c r="C8" s="4"/>
      <c r="E8" s="59" t="s">
        <v>68</v>
      </c>
    </row>
    <row r="9" spans="1:7">
      <c r="B9" t="s">
        <v>459</v>
      </c>
      <c r="C9" s="60">
        <f>SUMPRODUCT(D4:D6,F4:F6)</f>
        <v>0</v>
      </c>
      <c r="D9" s="4" t="s">
        <v>460</v>
      </c>
      <c r="E9" s="61">
        <v>350000</v>
      </c>
      <c r="F9" s="62" t="s">
        <v>461</v>
      </c>
    </row>
    <row r="10" spans="1:7">
      <c r="A10" t="s">
        <v>518</v>
      </c>
      <c r="B10" t="str">
        <f>B4</f>
        <v>Enter Crop Name</v>
      </c>
      <c r="C10" s="63">
        <f>D4</f>
        <v>224</v>
      </c>
      <c r="D10" s="4" t="s">
        <v>462</v>
      </c>
      <c r="E10" s="58">
        <v>50</v>
      </c>
      <c r="F10" s="62" t="s">
        <v>519</v>
      </c>
    </row>
    <row r="11" spans="1:7">
      <c r="A11" t="s">
        <v>518</v>
      </c>
      <c r="B11" t="str">
        <f t="shared" ref="B11:B12" si="1">B5</f>
        <v>Enter Crop Name</v>
      </c>
      <c r="C11" s="63">
        <f>D5</f>
        <v>244</v>
      </c>
      <c r="D11" s="4" t="s">
        <v>462</v>
      </c>
      <c r="E11" s="58">
        <v>50</v>
      </c>
      <c r="F11" s="62" t="s">
        <v>520</v>
      </c>
    </row>
    <row r="12" spans="1:7">
      <c r="A12" t="s">
        <v>518</v>
      </c>
      <c r="B12" t="str">
        <f t="shared" si="1"/>
        <v>Enter Crop Name</v>
      </c>
      <c r="C12" s="63">
        <f>D6</f>
        <v>218</v>
      </c>
      <c r="D12" s="4" t="s">
        <v>462</v>
      </c>
      <c r="E12" s="58">
        <v>50</v>
      </c>
      <c r="F12" s="62" t="s">
        <v>520</v>
      </c>
    </row>
    <row r="13" spans="1:7" ht="15.75" thickBot="1">
      <c r="B13" s="64" t="s">
        <v>61</v>
      </c>
      <c r="C13" s="65">
        <f>SUM(D4:D6)</f>
        <v>686</v>
      </c>
      <c r="D13" s="66" t="s">
        <v>463</v>
      </c>
      <c r="E13" s="67">
        <v>686</v>
      </c>
      <c r="F13" s="68" t="s">
        <v>464</v>
      </c>
    </row>
    <row r="14" spans="1:7" ht="15.75" thickTop="1"/>
    <row r="15" spans="1:7">
      <c r="B15" t="s">
        <v>465</v>
      </c>
      <c r="C15" s="69">
        <f>SUMPRODUCT(D4:D6,G4:G6)</f>
        <v>0</v>
      </c>
      <c r="D15" s="70" t="s">
        <v>466</v>
      </c>
    </row>
    <row r="20" spans="2:2">
      <c r="B20" s="52" t="s">
        <v>467</v>
      </c>
    </row>
    <row r="21" spans="2:2">
      <c r="B21" t="s">
        <v>468</v>
      </c>
    </row>
    <row r="22" spans="2:2">
      <c r="B22" t="s">
        <v>488</v>
      </c>
    </row>
    <row r="23" spans="2:2">
      <c r="B23" t="s">
        <v>469</v>
      </c>
    </row>
    <row r="24" spans="2:2">
      <c r="B24" t="s">
        <v>470</v>
      </c>
    </row>
    <row r="25" spans="2:2">
      <c r="B25" t="s">
        <v>489</v>
      </c>
    </row>
    <row r="57" spans="2:2">
      <c r="B57" t="s">
        <v>521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V170"/>
  <sheetViews>
    <sheetView topLeftCell="A19" workbookViewId="0">
      <selection activeCell="I167" sqref="I167"/>
    </sheetView>
  </sheetViews>
  <sheetFormatPr defaultRowHeight="15"/>
  <cols>
    <col min="1" max="1" width="61.42578125" bestFit="1" customWidth="1"/>
    <col min="2" max="2" width="11.140625" bestFit="1" customWidth="1"/>
    <col min="4" max="4" width="11.140625" bestFit="1" customWidth="1"/>
    <col min="5" max="5" width="12.28515625" bestFit="1" customWidth="1"/>
    <col min="6" max="6" width="12.85546875" style="5" customWidth="1"/>
    <col min="7" max="7" width="2" bestFit="1" customWidth="1"/>
    <col min="8" max="8" width="11" bestFit="1" customWidth="1"/>
    <col min="9" max="9" width="61.42578125" bestFit="1" customWidth="1"/>
    <col min="10" max="10" width="8.7109375" bestFit="1" customWidth="1"/>
    <col min="12" max="12" width="11.140625" bestFit="1" customWidth="1"/>
    <col min="13" max="13" width="11" bestFit="1" customWidth="1"/>
    <col min="14" max="14" width="12.85546875" bestFit="1" customWidth="1"/>
    <col min="15" max="15" width="2" bestFit="1" customWidth="1"/>
    <col min="17" max="17" width="38.140625" customWidth="1"/>
    <col min="18" max="18" width="8.7109375" customWidth="1"/>
    <col min="20" max="20" width="11.140625" bestFit="1" customWidth="1"/>
    <col min="21" max="21" width="7" customWidth="1"/>
    <col min="22" max="22" width="12.85546875" bestFit="1" customWidth="1"/>
  </cols>
  <sheetData>
    <row r="1" spans="1:22">
      <c r="A1" s="4">
        <v>1</v>
      </c>
      <c r="B1" s="4">
        <v>2</v>
      </c>
      <c r="C1" s="4">
        <v>3</v>
      </c>
      <c r="D1" s="4">
        <v>4</v>
      </c>
      <c r="E1" s="4">
        <v>5</v>
      </c>
      <c r="F1" s="5" t="s">
        <v>175</v>
      </c>
      <c r="I1" s="4">
        <v>1</v>
      </c>
      <c r="J1" s="4">
        <v>2</v>
      </c>
      <c r="K1" s="4">
        <v>3</v>
      </c>
      <c r="L1" s="4">
        <v>4</v>
      </c>
      <c r="M1" s="4">
        <v>5</v>
      </c>
      <c r="N1" s="5" t="s">
        <v>175</v>
      </c>
      <c r="Q1" s="4">
        <v>1</v>
      </c>
      <c r="R1" s="4">
        <v>2</v>
      </c>
      <c r="S1" s="4">
        <v>3</v>
      </c>
      <c r="T1" s="4">
        <v>4</v>
      </c>
      <c r="U1" s="4">
        <v>5</v>
      </c>
      <c r="V1" s="5" t="s">
        <v>175</v>
      </c>
    </row>
    <row r="2" spans="1:22" ht="18.75">
      <c r="A2" s="597" t="s">
        <v>69</v>
      </c>
      <c r="B2" s="597"/>
      <c r="C2" s="597"/>
      <c r="D2" s="597"/>
      <c r="E2" s="597"/>
      <c r="F2" s="597"/>
      <c r="I2" s="597" t="s">
        <v>73</v>
      </c>
      <c r="J2" s="597"/>
      <c r="K2" s="597"/>
      <c r="L2" s="597"/>
      <c r="M2" s="597"/>
      <c r="N2" s="597"/>
      <c r="Q2" s="597" t="s">
        <v>261</v>
      </c>
      <c r="R2" s="597"/>
      <c r="S2" s="597"/>
      <c r="T2" s="597"/>
      <c r="U2" s="597"/>
      <c r="V2" s="597"/>
    </row>
    <row r="3" spans="1:22">
      <c r="A3" t="s">
        <v>7</v>
      </c>
      <c r="B3" t="s">
        <v>10</v>
      </c>
      <c r="C3" t="s">
        <v>9</v>
      </c>
      <c r="D3" t="s">
        <v>8</v>
      </c>
      <c r="E3" t="s">
        <v>137</v>
      </c>
      <c r="F3" s="5" t="s">
        <v>138</v>
      </c>
      <c r="I3" t="s">
        <v>7</v>
      </c>
      <c r="J3" t="s">
        <v>10</v>
      </c>
      <c r="K3" t="s">
        <v>9</v>
      </c>
      <c r="L3" t="s">
        <v>8</v>
      </c>
      <c r="M3" t="s">
        <v>137</v>
      </c>
      <c r="N3" s="5" t="s">
        <v>138</v>
      </c>
      <c r="Q3" t="s">
        <v>7</v>
      </c>
      <c r="R3" t="s">
        <v>10</v>
      </c>
      <c r="S3" t="s">
        <v>9</v>
      </c>
      <c r="T3" t="s">
        <v>8</v>
      </c>
      <c r="U3" t="s">
        <v>137</v>
      </c>
      <c r="V3" s="5" t="s">
        <v>138</v>
      </c>
    </row>
    <row r="4" spans="1:22">
      <c r="A4" t="s">
        <v>3</v>
      </c>
      <c r="C4">
        <v>1</v>
      </c>
      <c r="D4" t="s">
        <v>3</v>
      </c>
      <c r="E4" t="s">
        <v>3</v>
      </c>
      <c r="I4" t="s">
        <v>3</v>
      </c>
      <c r="K4">
        <v>1</v>
      </c>
      <c r="L4" t="s">
        <v>3</v>
      </c>
      <c r="M4" t="s">
        <v>3</v>
      </c>
      <c r="N4" s="5"/>
      <c r="Q4" t="s">
        <v>3</v>
      </c>
      <c r="S4">
        <v>1</v>
      </c>
      <c r="T4" t="s">
        <v>3</v>
      </c>
      <c r="U4" t="s">
        <v>3</v>
      </c>
      <c r="V4" s="5"/>
    </row>
    <row r="5" spans="1:22" ht="15.75">
      <c r="A5" s="2" t="s">
        <v>95</v>
      </c>
      <c r="B5" t="s">
        <v>11</v>
      </c>
      <c r="C5" s="3">
        <v>4</v>
      </c>
      <c r="D5" t="s">
        <v>14</v>
      </c>
      <c r="E5" t="s">
        <v>108</v>
      </c>
      <c r="F5" s="5" t="s">
        <v>162</v>
      </c>
      <c r="I5" s="2" t="s">
        <v>194</v>
      </c>
      <c r="J5" t="s">
        <v>16</v>
      </c>
      <c r="K5" s="3">
        <v>16</v>
      </c>
      <c r="L5" t="s">
        <v>6</v>
      </c>
      <c r="M5" t="s">
        <v>108</v>
      </c>
      <c r="N5" s="5" t="s">
        <v>195</v>
      </c>
      <c r="Q5" t="s">
        <v>239</v>
      </c>
      <c r="R5" t="s">
        <v>13</v>
      </c>
      <c r="S5" s="3">
        <v>8</v>
      </c>
      <c r="T5" t="s">
        <v>14</v>
      </c>
      <c r="V5" s="5">
        <v>4</v>
      </c>
    </row>
    <row r="6" spans="1:22" ht="15.75">
      <c r="A6" s="2" t="s">
        <v>96</v>
      </c>
      <c r="B6" t="s">
        <v>11</v>
      </c>
      <c r="C6" s="3">
        <v>4</v>
      </c>
      <c r="D6" t="s">
        <v>14</v>
      </c>
      <c r="E6" t="s">
        <v>108</v>
      </c>
      <c r="F6" s="5" t="s">
        <v>163</v>
      </c>
      <c r="I6" s="2" t="s">
        <v>97</v>
      </c>
      <c r="J6" t="s">
        <v>16</v>
      </c>
      <c r="K6" s="3">
        <v>128</v>
      </c>
      <c r="L6" t="s">
        <v>17</v>
      </c>
      <c r="M6" t="s">
        <v>108</v>
      </c>
      <c r="N6" s="5" t="s">
        <v>141</v>
      </c>
      <c r="Q6" t="s">
        <v>240</v>
      </c>
      <c r="R6" t="s">
        <v>13</v>
      </c>
      <c r="S6" s="3">
        <v>8</v>
      </c>
      <c r="T6" t="s">
        <v>14</v>
      </c>
      <c r="V6" s="5" t="s">
        <v>173</v>
      </c>
    </row>
    <row r="7" spans="1:22" ht="15.75">
      <c r="A7" s="2" t="s">
        <v>98</v>
      </c>
      <c r="B7" t="s">
        <v>13</v>
      </c>
      <c r="C7" s="3">
        <v>8</v>
      </c>
      <c r="D7" t="s">
        <v>14</v>
      </c>
      <c r="E7" t="s">
        <v>108</v>
      </c>
      <c r="F7" s="5" t="s">
        <v>142</v>
      </c>
      <c r="I7" s="2" t="s">
        <v>196</v>
      </c>
      <c r="J7" t="s">
        <v>16</v>
      </c>
      <c r="K7" s="3">
        <v>128</v>
      </c>
      <c r="L7" t="s">
        <v>17</v>
      </c>
      <c r="M7" t="s">
        <v>108</v>
      </c>
      <c r="N7" s="5" t="s">
        <v>197</v>
      </c>
      <c r="Q7" t="s">
        <v>241</v>
      </c>
      <c r="R7" t="s">
        <v>16</v>
      </c>
      <c r="S7" s="3">
        <v>16</v>
      </c>
      <c r="T7" t="s">
        <v>6</v>
      </c>
      <c r="V7" s="5" t="s">
        <v>151</v>
      </c>
    </row>
    <row r="8" spans="1:22" ht="15.75">
      <c r="A8" s="2" t="s">
        <v>97</v>
      </c>
      <c r="B8" t="s">
        <v>16</v>
      </c>
      <c r="C8" s="3">
        <v>128</v>
      </c>
      <c r="D8" t="s">
        <v>17</v>
      </c>
      <c r="E8" t="s">
        <v>108</v>
      </c>
      <c r="F8" s="5" t="s">
        <v>164</v>
      </c>
      <c r="I8" s="2" t="s">
        <v>198</v>
      </c>
      <c r="J8" t="s">
        <v>16</v>
      </c>
      <c r="K8" s="3">
        <v>16</v>
      </c>
      <c r="L8" t="s">
        <v>6</v>
      </c>
      <c r="M8" t="s">
        <v>108</v>
      </c>
      <c r="N8" s="5" t="s">
        <v>197</v>
      </c>
      <c r="Q8" t="s">
        <v>242</v>
      </c>
      <c r="R8" t="s">
        <v>16</v>
      </c>
      <c r="S8" s="3">
        <v>128</v>
      </c>
      <c r="T8" t="s">
        <v>14</v>
      </c>
      <c r="V8" s="5" t="s">
        <v>258</v>
      </c>
    </row>
    <row r="9" spans="1:22" ht="15.75">
      <c r="A9" s="2" t="s">
        <v>18</v>
      </c>
      <c r="B9" t="s">
        <v>16</v>
      </c>
      <c r="C9" s="3">
        <v>128</v>
      </c>
      <c r="D9" t="s">
        <v>17</v>
      </c>
      <c r="E9" t="s">
        <v>108</v>
      </c>
      <c r="F9" s="5" t="s">
        <v>143</v>
      </c>
      <c r="I9" s="2" t="s">
        <v>199</v>
      </c>
      <c r="J9" t="s">
        <v>16</v>
      </c>
      <c r="K9" s="3">
        <v>16</v>
      </c>
      <c r="L9" t="s">
        <v>6</v>
      </c>
      <c r="M9" t="s">
        <v>108</v>
      </c>
      <c r="N9" s="5" t="s">
        <v>197</v>
      </c>
      <c r="Q9" t="s">
        <v>116</v>
      </c>
      <c r="R9" t="s">
        <v>13</v>
      </c>
      <c r="S9" s="3">
        <v>8</v>
      </c>
      <c r="T9" t="s">
        <v>14</v>
      </c>
      <c r="V9" s="5" t="s">
        <v>173</v>
      </c>
    </row>
    <row r="10" spans="1:22" ht="15.75">
      <c r="A10" s="2" t="s">
        <v>86</v>
      </c>
      <c r="B10" t="s">
        <v>19</v>
      </c>
      <c r="C10" s="3">
        <v>1</v>
      </c>
      <c r="D10" t="s">
        <v>6</v>
      </c>
      <c r="E10" t="s">
        <v>109</v>
      </c>
      <c r="F10" s="5" t="s">
        <v>155</v>
      </c>
      <c r="I10" s="2" t="s">
        <v>200</v>
      </c>
      <c r="J10" t="s">
        <v>16</v>
      </c>
      <c r="K10" s="3">
        <v>16</v>
      </c>
      <c r="L10" t="s">
        <v>6</v>
      </c>
      <c r="M10" t="s">
        <v>108</v>
      </c>
      <c r="N10" s="5" t="s">
        <v>201</v>
      </c>
      <c r="Q10" s="2" t="s">
        <v>119</v>
      </c>
      <c r="R10" t="s">
        <v>13</v>
      </c>
      <c r="S10" s="3">
        <v>8</v>
      </c>
      <c r="T10" t="s">
        <v>14</v>
      </c>
      <c r="V10" s="5">
        <v>6</v>
      </c>
    </row>
    <row r="11" spans="1:22" ht="15.75">
      <c r="A11" s="2" t="s">
        <v>85</v>
      </c>
      <c r="B11" t="s">
        <v>11</v>
      </c>
      <c r="C11" s="3">
        <v>4</v>
      </c>
      <c r="D11" t="s">
        <v>14</v>
      </c>
      <c r="E11" t="s">
        <v>109</v>
      </c>
      <c r="F11" s="5" t="s">
        <v>155</v>
      </c>
      <c r="I11" s="2" t="s">
        <v>202</v>
      </c>
      <c r="J11" t="s">
        <v>16</v>
      </c>
      <c r="K11" s="3">
        <v>16</v>
      </c>
      <c r="L11" t="s">
        <v>6</v>
      </c>
      <c r="M11" t="s">
        <v>108</v>
      </c>
      <c r="N11" s="5" t="s">
        <v>197</v>
      </c>
      <c r="Q11" t="s">
        <v>243</v>
      </c>
      <c r="R11" t="s">
        <v>13</v>
      </c>
      <c r="S11" s="3">
        <v>8</v>
      </c>
      <c r="T11" t="s">
        <v>14</v>
      </c>
      <c r="V11" s="5" t="s">
        <v>259</v>
      </c>
    </row>
    <row r="12" spans="1:22" ht="15.75">
      <c r="A12" s="2" t="s">
        <v>87</v>
      </c>
      <c r="B12" t="s">
        <v>16</v>
      </c>
      <c r="C12" s="3">
        <v>128</v>
      </c>
      <c r="D12" t="s">
        <v>14</v>
      </c>
      <c r="E12" t="s">
        <v>109</v>
      </c>
      <c r="F12" s="5" t="s">
        <v>156</v>
      </c>
      <c r="I12" s="2" t="s">
        <v>70</v>
      </c>
      <c r="J12" t="s">
        <v>13</v>
      </c>
      <c r="K12" s="3">
        <v>8</v>
      </c>
      <c r="L12" t="s">
        <v>14</v>
      </c>
      <c r="M12" t="s">
        <v>108</v>
      </c>
      <c r="N12" s="5" t="s">
        <v>165</v>
      </c>
      <c r="Q12" t="s">
        <v>244</v>
      </c>
      <c r="R12" t="s">
        <v>16</v>
      </c>
      <c r="S12" s="3">
        <v>16</v>
      </c>
      <c r="T12" t="s">
        <v>6</v>
      </c>
      <c r="V12" s="5" t="s">
        <v>159</v>
      </c>
    </row>
    <row r="13" spans="1:22" ht="15.75">
      <c r="A13" s="2" t="s">
        <v>99</v>
      </c>
      <c r="B13" t="s">
        <v>16</v>
      </c>
      <c r="C13" s="3">
        <v>128</v>
      </c>
      <c r="D13" t="s">
        <v>17</v>
      </c>
      <c r="E13" t="s">
        <v>108</v>
      </c>
      <c r="F13" s="5" t="s">
        <v>151</v>
      </c>
      <c r="I13" s="2" t="s">
        <v>181</v>
      </c>
      <c r="J13" t="s">
        <v>16</v>
      </c>
      <c r="K13" s="3">
        <v>128</v>
      </c>
      <c r="L13" t="s">
        <v>14</v>
      </c>
      <c r="M13" t="s">
        <v>109</v>
      </c>
      <c r="N13" s="5" t="s">
        <v>141</v>
      </c>
      <c r="Q13" t="s">
        <v>245</v>
      </c>
      <c r="R13" t="s">
        <v>16</v>
      </c>
      <c r="S13" s="3">
        <v>16</v>
      </c>
      <c r="T13" t="s">
        <v>6</v>
      </c>
      <c r="V13" s="5" t="s">
        <v>159</v>
      </c>
    </row>
    <row r="14" spans="1:22" ht="15.75">
      <c r="A14" s="2" t="s">
        <v>166</v>
      </c>
      <c r="B14" t="s">
        <v>11</v>
      </c>
      <c r="C14" s="3">
        <v>5</v>
      </c>
      <c r="D14" t="s">
        <v>14</v>
      </c>
      <c r="E14" t="s">
        <v>108</v>
      </c>
      <c r="F14" s="5" t="s">
        <v>165</v>
      </c>
      <c r="I14" s="2" t="s">
        <v>203</v>
      </c>
      <c r="J14" t="s">
        <v>16</v>
      </c>
      <c r="K14" s="3">
        <v>128</v>
      </c>
      <c r="L14" t="s">
        <v>17</v>
      </c>
      <c r="M14" t="s">
        <v>108</v>
      </c>
      <c r="N14" s="5" t="s">
        <v>151</v>
      </c>
      <c r="Q14" t="s">
        <v>246</v>
      </c>
      <c r="R14" t="s">
        <v>16</v>
      </c>
      <c r="S14" s="3">
        <v>16</v>
      </c>
      <c r="T14" t="s">
        <v>6</v>
      </c>
      <c r="V14" s="5" t="s">
        <v>151</v>
      </c>
    </row>
    <row r="15" spans="1:22" ht="15.75">
      <c r="A15" s="2" t="s">
        <v>100</v>
      </c>
      <c r="B15" t="s">
        <v>11</v>
      </c>
      <c r="C15" s="3">
        <v>4</v>
      </c>
      <c r="D15" t="s">
        <v>14</v>
      </c>
      <c r="E15" t="s">
        <v>108</v>
      </c>
      <c r="F15" s="5" t="s">
        <v>165</v>
      </c>
      <c r="I15" s="2" t="s">
        <v>182</v>
      </c>
      <c r="J15" t="s">
        <v>13</v>
      </c>
      <c r="K15" s="3">
        <v>8</v>
      </c>
      <c r="L15" t="s">
        <v>14</v>
      </c>
      <c r="M15" t="s">
        <v>109</v>
      </c>
      <c r="N15" s="5" t="s">
        <v>183</v>
      </c>
      <c r="Q15" t="s">
        <v>247</v>
      </c>
      <c r="R15" t="s">
        <v>16</v>
      </c>
      <c r="S15" s="3">
        <v>128</v>
      </c>
      <c r="T15" t="s">
        <v>14</v>
      </c>
      <c r="V15" s="5" t="s">
        <v>260</v>
      </c>
    </row>
    <row r="16" spans="1:22" ht="15.75">
      <c r="A16" s="2" t="s">
        <v>102</v>
      </c>
      <c r="B16" t="s">
        <v>11</v>
      </c>
      <c r="C16" s="3">
        <v>4</v>
      </c>
      <c r="D16" t="s">
        <v>14</v>
      </c>
      <c r="E16" t="s">
        <v>108</v>
      </c>
      <c r="F16" s="5" t="s">
        <v>165</v>
      </c>
      <c r="I16" s="2" t="s">
        <v>184</v>
      </c>
      <c r="J16" t="s">
        <v>13</v>
      </c>
      <c r="K16" s="3">
        <v>8</v>
      </c>
      <c r="L16" t="s">
        <v>14</v>
      </c>
      <c r="M16" t="s">
        <v>109</v>
      </c>
      <c r="N16" s="5" t="s">
        <v>157</v>
      </c>
      <c r="Q16" t="s">
        <v>248</v>
      </c>
      <c r="R16" t="s">
        <v>13</v>
      </c>
      <c r="S16" s="3">
        <v>8</v>
      </c>
      <c r="T16" t="s">
        <v>14</v>
      </c>
      <c r="V16" s="5" t="s">
        <v>173</v>
      </c>
    </row>
    <row r="17" spans="1:22" ht="15.75">
      <c r="A17" s="2" t="s">
        <v>101</v>
      </c>
      <c r="B17" t="s">
        <v>11</v>
      </c>
      <c r="C17" s="3">
        <v>4</v>
      </c>
      <c r="D17" t="s">
        <v>14</v>
      </c>
      <c r="E17" t="s">
        <v>108</v>
      </c>
      <c r="F17" s="5" t="s">
        <v>165</v>
      </c>
      <c r="I17" s="2" t="s">
        <v>235</v>
      </c>
      <c r="J17" t="s">
        <v>16</v>
      </c>
      <c r="K17">
        <v>128</v>
      </c>
      <c r="L17" t="s">
        <v>14</v>
      </c>
      <c r="M17" t="s">
        <v>109</v>
      </c>
      <c r="N17" s="5" t="s">
        <v>173</v>
      </c>
      <c r="Q17" t="s">
        <v>249</v>
      </c>
      <c r="R17" t="s">
        <v>16</v>
      </c>
      <c r="S17" s="3">
        <v>16</v>
      </c>
      <c r="T17" t="s">
        <v>6</v>
      </c>
      <c r="V17" s="5" t="s">
        <v>151</v>
      </c>
    </row>
    <row r="18" spans="1:22" ht="15.75">
      <c r="A18" s="2" t="s">
        <v>88</v>
      </c>
      <c r="B18" t="s">
        <v>13</v>
      </c>
      <c r="C18" s="3">
        <v>8</v>
      </c>
      <c r="D18" t="s">
        <v>14</v>
      </c>
      <c r="E18" t="s">
        <v>109</v>
      </c>
      <c r="F18" s="5" t="s">
        <v>157</v>
      </c>
      <c r="I18" s="2" t="s">
        <v>204</v>
      </c>
      <c r="J18" t="s">
        <v>16</v>
      </c>
      <c r="K18" s="3">
        <v>16</v>
      </c>
      <c r="L18" t="s">
        <v>6</v>
      </c>
      <c r="M18" t="s">
        <v>108</v>
      </c>
      <c r="N18" s="5" t="s">
        <v>195</v>
      </c>
      <c r="Q18" t="s">
        <v>250</v>
      </c>
      <c r="R18" t="s">
        <v>16</v>
      </c>
      <c r="S18" s="3">
        <v>16</v>
      </c>
      <c r="T18" t="s">
        <v>6</v>
      </c>
      <c r="V18" s="5" t="s">
        <v>159</v>
      </c>
    </row>
    <row r="19" spans="1:22" ht="15.75">
      <c r="A19" s="2" t="s">
        <v>89</v>
      </c>
      <c r="B19" t="s">
        <v>16</v>
      </c>
      <c r="C19" s="3">
        <v>128</v>
      </c>
      <c r="D19" t="s">
        <v>14</v>
      </c>
      <c r="E19" t="s">
        <v>109</v>
      </c>
      <c r="F19" s="5" t="s">
        <v>156</v>
      </c>
      <c r="I19" s="2" t="s">
        <v>103</v>
      </c>
      <c r="J19" t="s">
        <v>16</v>
      </c>
      <c r="K19" s="3">
        <v>16</v>
      </c>
      <c r="L19" t="s">
        <v>6</v>
      </c>
      <c r="M19" t="s">
        <v>108</v>
      </c>
      <c r="N19" s="5" t="s">
        <v>141</v>
      </c>
      <c r="Q19" t="s">
        <v>251</v>
      </c>
      <c r="R19" t="s">
        <v>16</v>
      </c>
      <c r="S19" s="3">
        <v>16</v>
      </c>
      <c r="T19" t="s">
        <v>6</v>
      </c>
      <c r="V19" s="5" t="s">
        <v>159</v>
      </c>
    </row>
    <row r="20" spans="1:22" ht="15.75">
      <c r="A20" s="2" t="s">
        <v>23</v>
      </c>
      <c r="B20" t="s">
        <v>16</v>
      </c>
      <c r="C20" s="3">
        <v>1</v>
      </c>
      <c r="D20" t="s">
        <v>17</v>
      </c>
      <c r="E20" t="s">
        <v>108</v>
      </c>
      <c r="F20" s="5" t="s">
        <v>145</v>
      </c>
      <c r="I20" s="2" t="s">
        <v>205</v>
      </c>
      <c r="J20" t="s">
        <v>16</v>
      </c>
      <c r="K20" s="3">
        <v>16</v>
      </c>
      <c r="L20" t="s">
        <v>6</v>
      </c>
      <c r="M20" t="s">
        <v>108</v>
      </c>
      <c r="N20" s="5" t="s">
        <v>206</v>
      </c>
      <c r="Q20" t="s">
        <v>252</v>
      </c>
      <c r="R20" t="s">
        <v>16</v>
      </c>
      <c r="S20" s="3">
        <v>16</v>
      </c>
      <c r="T20" t="s">
        <v>6</v>
      </c>
      <c r="V20" s="5" t="s">
        <v>159</v>
      </c>
    </row>
    <row r="21" spans="1:22" ht="15.75">
      <c r="A21" s="2" t="s">
        <v>90</v>
      </c>
      <c r="B21" t="s">
        <v>11</v>
      </c>
      <c r="C21" s="3">
        <v>4</v>
      </c>
      <c r="D21" t="s">
        <v>14</v>
      </c>
      <c r="E21" t="s">
        <v>109</v>
      </c>
      <c r="F21" s="5" t="s">
        <v>157</v>
      </c>
      <c r="I21" s="2" t="s">
        <v>185</v>
      </c>
      <c r="J21" t="s">
        <v>16</v>
      </c>
      <c r="K21" s="3">
        <v>16</v>
      </c>
      <c r="L21" t="s">
        <v>6</v>
      </c>
      <c r="M21" t="s">
        <v>109</v>
      </c>
      <c r="N21" s="5" t="s">
        <v>159</v>
      </c>
      <c r="Q21" t="s">
        <v>29</v>
      </c>
      <c r="R21" t="s">
        <v>13</v>
      </c>
      <c r="S21" s="3">
        <v>8</v>
      </c>
      <c r="T21" t="s">
        <v>14</v>
      </c>
      <c r="V21" s="5" t="s">
        <v>158</v>
      </c>
    </row>
    <row r="22" spans="1:22" ht="15.75">
      <c r="A22" s="2" t="s">
        <v>103</v>
      </c>
      <c r="B22" t="s">
        <v>16</v>
      </c>
      <c r="C22" s="3">
        <v>128</v>
      </c>
      <c r="D22" t="s">
        <v>17</v>
      </c>
      <c r="E22" t="s">
        <v>108</v>
      </c>
      <c r="F22" s="5" t="s">
        <v>141</v>
      </c>
      <c r="I22" s="2" t="s">
        <v>207</v>
      </c>
      <c r="J22" t="s">
        <v>13</v>
      </c>
      <c r="K22" s="3">
        <v>8</v>
      </c>
      <c r="L22" t="s">
        <v>14</v>
      </c>
      <c r="M22" t="s">
        <v>108</v>
      </c>
      <c r="N22" s="5" t="s">
        <v>208</v>
      </c>
      <c r="Q22" t="s">
        <v>253</v>
      </c>
      <c r="R22" t="s">
        <v>13</v>
      </c>
      <c r="S22" s="3">
        <v>8</v>
      </c>
      <c r="T22" t="s">
        <v>14</v>
      </c>
      <c r="V22" s="5" t="s">
        <v>258</v>
      </c>
    </row>
    <row r="23" spans="1:22" ht="15.75">
      <c r="A23" s="2" t="s">
        <v>104</v>
      </c>
      <c r="B23" t="s">
        <v>16</v>
      </c>
      <c r="C23" s="3">
        <v>128</v>
      </c>
      <c r="D23" t="s">
        <v>17</v>
      </c>
      <c r="E23" t="s">
        <v>108</v>
      </c>
      <c r="F23" s="5" t="s">
        <v>143</v>
      </c>
      <c r="I23" s="2" t="s">
        <v>140</v>
      </c>
      <c r="J23" t="s">
        <v>16</v>
      </c>
      <c r="K23" s="3">
        <v>128</v>
      </c>
      <c r="L23" t="s">
        <v>14</v>
      </c>
      <c r="M23" t="s">
        <v>113</v>
      </c>
      <c r="N23" s="5">
        <v>9</v>
      </c>
      <c r="Q23" t="s">
        <v>254</v>
      </c>
      <c r="R23" t="s">
        <v>16</v>
      </c>
      <c r="S23" s="3">
        <v>16</v>
      </c>
      <c r="T23" t="s">
        <v>6</v>
      </c>
      <c r="V23" s="5" t="s">
        <v>147</v>
      </c>
    </row>
    <row r="24" spans="1:22" ht="15.75">
      <c r="A24" s="2" t="s">
        <v>105</v>
      </c>
      <c r="B24" t="s">
        <v>16</v>
      </c>
      <c r="C24" s="3">
        <v>128</v>
      </c>
      <c r="D24" t="s">
        <v>17</v>
      </c>
      <c r="E24" t="s">
        <v>108</v>
      </c>
      <c r="F24" s="5" t="s">
        <v>147</v>
      </c>
      <c r="I24" s="2" t="s">
        <v>186</v>
      </c>
      <c r="J24" t="s">
        <v>19</v>
      </c>
      <c r="K24" s="3">
        <v>1</v>
      </c>
      <c r="L24" t="s">
        <v>6</v>
      </c>
      <c r="M24" t="s">
        <v>109</v>
      </c>
      <c r="N24" s="5" t="s">
        <v>187</v>
      </c>
      <c r="Q24" t="s">
        <v>255</v>
      </c>
      <c r="R24" t="s">
        <v>13</v>
      </c>
      <c r="S24" s="3">
        <v>8</v>
      </c>
      <c r="T24" t="s">
        <v>14</v>
      </c>
      <c r="V24" s="5" t="s">
        <v>173</v>
      </c>
    </row>
    <row r="25" spans="1:22" ht="15.75">
      <c r="A25" s="2" t="s">
        <v>106</v>
      </c>
      <c r="B25" t="s">
        <v>16</v>
      </c>
      <c r="C25" s="3">
        <v>128</v>
      </c>
      <c r="D25" t="s">
        <v>17</v>
      </c>
      <c r="E25" t="s">
        <v>108</v>
      </c>
      <c r="F25" s="5" t="s">
        <v>145</v>
      </c>
      <c r="I25" s="2" t="s">
        <v>188</v>
      </c>
      <c r="J25" t="s">
        <v>16</v>
      </c>
      <c r="K25" s="3">
        <v>16</v>
      </c>
      <c r="L25" t="s">
        <v>6</v>
      </c>
      <c r="M25" t="s">
        <v>109</v>
      </c>
      <c r="N25" s="5" t="s">
        <v>155</v>
      </c>
      <c r="Q25" t="s">
        <v>124</v>
      </c>
      <c r="R25" t="s">
        <v>13</v>
      </c>
      <c r="S25" s="3">
        <v>8</v>
      </c>
      <c r="T25" t="s">
        <v>14</v>
      </c>
      <c r="V25" s="5" t="s">
        <v>173</v>
      </c>
    </row>
    <row r="26" spans="1:22" ht="15.75">
      <c r="A26" s="2" t="s">
        <v>25</v>
      </c>
      <c r="B26" t="s">
        <v>11</v>
      </c>
      <c r="C26" s="3">
        <v>4</v>
      </c>
      <c r="D26" t="s">
        <v>14</v>
      </c>
      <c r="E26" t="s">
        <v>108</v>
      </c>
      <c r="F26" s="5" t="s">
        <v>167</v>
      </c>
      <c r="I26" s="2" t="s">
        <v>71</v>
      </c>
      <c r="J26" t="s">
        <v>16</v>
      </c>
      <c r="K26" s="3">
        <v>16</v>
      </c>
      <c r="L26" t="s">
        <v>6</v>
      </c>
      <c r="M26" t="s">
        <v>108</v>
      </c>
      <c r="N26" s="5" t="s">
        <v>197</v>
      </c>
      <c r="Q26" t="s">
        <v>256</v>
      </c>
      <c r="R26" t="s">
        <v>16</v>
      </c>
      <c r="S26" s="3">
        <v>128</v>
      </c>
      <c r="T26" t="s">
        <v>14</v>
      </c>
      <c r="V26" s="5" t="s">
        <v>260</v>
      </c>
    </row>
    <row r="27" spans="1:22" ht="15.75">
      <c r="A27" s="2" t="s">
        <v>27</v>
      </c>
      <c r="B27" t="s">
        <v>11</v>
      </c>
      <c r="C27" s="3">
        <v>4</v>
      </c>
      <c r="D27" t="s">
        <v>14</v>
      </c>
      <c r="E27" t="s">
        <v>108</v>
      </c>
      <c r="F27" s="5" t="s">
        <v>167</v>
      </c>
      <c r="I27" s="2" t="s">
        <v>28</v>
      </c>
      <c r="J27" t="s">
        <v>16</v>
      </c>
      <c r="K27" s="3">
        <v>128</v>
      </c>
      <c r="L27" t="s">
        <v>14</v>
      </c>
      <c r="M27" t="s">
        <v>109</v>
      </c>
      <c r="N27" s="5" t="s">
        <v>157</v>
      </c>
      <c r="Q27" t="s">
        <v>257</v>
      </c>
      <c r="R27" t="s">
        <v>13</v>
      </c>
      <c r="S27" s="3">
        <v>8</v>
      </c>
      <c r="T27" t="s">
        <v>14</v>
      </c>
      <c r="V27" s="5" t="s">
        <v>259</v>
      </c>
    </row>
    <row r="28" spans="1:22" ht="15.75">
      <c r="A28" s="2" t="s">
        <v>28</v>
      </c>
      <c r="B28" t="s">
        <v>16</v>
      </c>
      <c r="C28" s="3">
        <v>128</v>
      </c>
      <c r="D28" t="s">
        <v>14</v>
      </c>
      <c r="E28" t="s">
        <v>109</v>
      </c>
      <c r="F28" s="5" t="s">
        <v>157</v>
      </c>
      <c r="I28" s="2" t="s">
        <v>209</v>
      </c>
      <c r="J28" t="s">
        <v>13</v>
      </c>
      <c r="K28" s="3">
        <v>8</v>
      </c>
      <c r="L28" t="s">
        <v>14</v>
      </c>
      <c r="M28" t="s">
        <v>108</v>
      </c>
      <c r="N28" s="5" t="s">
        <v>141</v>
      </c>
    </row>
    <row r="29" spans="1:22" ht="15.75">
      <c r="A29" s="2" t="s">
        <v>107</v>
      </c>
      <c r="B29" t="s">
        <v>16</v>
      </c>
      <c r="C29" s="3">
        <v>128</v>
      </c>
      <c r="D29" t="s">
        <v>17</v>
      </c>
      <c r="E29" t="s">
        <v>108</v>
      </c>
      <c r="F29" s="5" t="s">
        <v>145</v>
      </c>
      <c r="I29" s="2" t="s">
        <v>189</v>
      </c>
      <c r="J29" t="s">
        <v>13</v>
      </c>
      <c r="K29" s="3">
        <v>8</v>
      </c>
      <c r="L29" t="s">
        <v>14</v>
      </c>
      <c r="M29" t="s">
        <v>109</v>
      </c>
      <c r="N29" s="5" t="s">
        <v>159</v>
      </c>
    </row>
    <row r="30" spans="1:22" ht="15.75">
      <c r="A30" s="2" t="s">
        <v>91</v>
      </c>
      <c r="B30" t="s">
        <v>11</v>
      </c>
      <c r="C30" s="3">
        <v>4</v>
      </c>
      <c r="D30" t="s">
        <v>14</v>
      </c>
      <c r="E30" t="s">
        <v>109</v>
      </c>
      <c r="F30" s="5" t="s">
        <v>155</v>
      </c>
      <c r="I30" s="2" t="s">
        <v>92</v>
      </c>
      <c r="J30" t="s">
        <v>16</v>
      </c>
      <c r="K30" s="3">
        <v>16</v>
      </c>
      <c r="L30" t="s">
        <v>6</v>
      </c>
      <c r="M30" t="s">
        <v>109</v>
      </c>
      <c r="N30" s="5" t="s">
        <v>159</v>
      </c>
    </row>
    <row r="31" spans="1:22" ht="15.75">
      <c r="A31" s="2" t="s">
        <v>29</v>
      </c>
      <c r="B31" t="s">
        <v>13</v>
      </c>
      <c r="C31" s="3">
        <v>8</v>
      </c>
      <c r="D31" t="s">
        <v>14</v>
      </c>
      <c r="E31" t="s">
        <v>109</v>
      </c>
      <c r="F31" s="5" t="s">
        <v>158</v>
      </c>
      <c r="I31" s="2" t="s">
        <v>190</v>
      </c>
      <c r="J31" t="s">
        <v>13</v>
      </c>
      <c r="K31" s="3">
        <v>8</v>
      </c>
      <c r="L31" t="s">
        <v>14</v>
      </c>
      <c r="M31" t="s">
        <v>109</v>
      </c>
      <c r="N31" s="5" t="s">
        <v>158</v>
      </c>
    </row>
    <row r="32" spans="1:22" ht="15.75">
      <c r="A32" s="2" t="s">
        <v>92</v>
      </c>
      <c r="B32" t="s">
        <v>16</v>
      </c>
      <c r="C32" s="3">
        <v>128</v>
      </c>
      <c r="D32" t="s">
        <v>14</v>
      </c>
      <c r="E32" t="s">
        <v>109</v>
      </c>
      <c r="F32" s="5" t="s">
        <v>159</v>
      </c>
      <c r="I32" s="2" t="s">
        <v>191</v>
      </c>
      <c r="J32" t="s">
        <v>16</v>
      </c>
      <c r="K32" s="3">
        <v>128</v>
      </c>
      <c r="L32" t="s">
        <v>14</v>
      </c>
      <c r="M32" t="s">
        <v>109</v>
      </c>
      <c r="N32" s="5" t="s">
        <v>160</v>
      </c>
    </row>
    <row r="33" spans="1:14" ht="15.75">
      <c r="A33" s="2" t="s">
        <v>110</v>
      </c>
      <c r="B33" t="s">
        <v>11</v>
      </c>
      <c r="C33" s="3">
        <v>4</v>
      </c>
      <c r="D33" t="s">
        <v>14</v>
      </c>
      <c r="E33" t="s">
        <v>108</v>
      </c>
      <c r="F33" s="5" t="s">
        <v>168</v>
      </c>
      <c r="I33" s="2" t="s">
        <v>210</v>
      </c>
      <c r="J33" t="s">
        <v>16</v>
      </c>
      <c r="K33" s="3">
        <v>128</v>
      </c>
      <c r="L33" t="s">
        <v>14</v>
      </c>
      <c r="M33" t="s">
        <v>108</v>
      </c>
      <c r="N33" s="5" t="s">
        <v>211</v>
      </c>
    </row>
    <row r="34" spans="1:14" ht="15.75">
      <c r="A34" s="2" t="s">
        <v>93</v>
      </c>
      <c r="B34" t="s">
        <v>16</v>
      </c>
      <c r="C34" s="3">
        <v>1</v>
      </c>
      <c r="D34" t="s">
        <v>17</v>
      </c>
      <c r="E34" t="s">
        <v>109</v>
      </c>
      <c r="F34" s="5" t="s">
        <v>159</v>
      </c>
      <c r="I34" s="2" t="s">
        <v>212</v>
      </c>
      <c r="J34" t="s">
        <v>16</v>
      </c>
      <c r="K34" s="3">
        <v>16</v>
      </c>
      <c r="L34" t="s">
        <v>6</v>
      </c>
      <c r="M34" t="s">
        <v>108</v>
      </c>
      <c r="N34" s="5" t="s">
        <v>197</v>
      </c>
    </row>
    <row r="35" spans="1:14" ht="15.75">
      <c r="A35" s="2" t="s">
        <v>30</v>
      </c>
      <c r="B35" t="s">
        <v>16</v>
      </c>
      <c r="C35" s="3">
        <v>128</v>
      </c>
      <c r="D35" t="s">
        <v>14</v>
      </c>
      <c r="E35" t="s">
        <v>109</v>
      </c>
      <c r="F35" s="5" t="s">
        <v>160</v>
      </c>
      <c r="I35" s="2" t="s">
        <v>213</v>
      </c>
      <c r="J35" t="s">
        <v>16</v>
      </c>
      <c r="K35" s="3">
        <v>16</v>
      </c>
      <c r="L35" t="s">
        <v>6</v>
      </c>
      <c r="M35" t="s">
        <v>108</v>
      </c>
      <c r="N35" s="5" t="s">
        <v>151</v>
      </c>
    </row>
    <row r="36" spans="1:14" ht="15.75">
      <c r="A36" s="2" t="s">
        <v>111</v>
      </c>
      <c r="B36" t="s">
        <v>11</v>
      </c>
      <c r="C36" s="3">
        <v>4</v>
      </c>
      <c r="D36" t="s">
        <v>14</v>
      </c>
      <c r="E36" t="s">
        <v>108</v>
      </c>
      <c r="F36" s="5" t="s">
        <v>169</v>
      </c>
      <c r="I36" s="2" t="s">
        <v>192</v>
      </c>
      <c r="J36" t="s">
        <v>13</v>
      </c>
      <c r="K36" s="3">
        <v>8</v>
      </c>
      <c r="L36" t="s">
        <v>14</v>
      </c>
      <c r="M36" t="s">
        <v>109</v>
      </c>
      <c r="N36" s="5" t="s">
        <v>158</v>
      </c>
    </row>
    <row r="37" spans="1:14" ht="15.75">
      <c r="A37" s="2" t="s">
        <v>94</v>
      </c>
      <c r="B37" t="s">
        <v>16</v>
      </c>
      <c r="C37" s="3">
        <v>128</v>
      </c>
      <c r="D37" t="s">
        <v>14</v>
      </c>
      <c r="E37" t="s">
        <v>109</v>
      </c>
      <c r="F37" s="5" t="s">
        <v>160</v>
      </c>
      <c r="I37" s="2" t="s">
        <v>214</v>
      </c>
      <c r="J37" t="s">
        <v>16</v>
      </c>
      <c r="K37" s="3">
        <v>16</v>
      </c>
      <c r="L37" t="s">
        <v>6</v>
      </c>
      <c r="M37" t="s">
        <v>108</v>
      </c>
      <c r="N37" s="5" t="s">
        <v>215</v>
      </c>
    </row>
    <row r="38" spans="1:14" ht="15.75">
      <c r="A38" s="2" t="s">
        <v>31</v>
      </c>
      <c r="B38" t="s">
        <v>16</v>
      </c>
      <c r="C38" s="3">
        <v>128</v>
      </c>
      <c r="D38" t="s">
        <v>14</v>
      </c>
      <c r="E38" t="s">
        <v>108</v>
      </c>
      <c r="F38" s="5" t="s">
        <v>141</v>
      </c>
      <c r="I38" s="2" t="s">
        <v>216</v>
      </c>
      <c r="J38" t="s">
        <v>16</v>
      </c>
      <c r="K38" s="3">
        <v>16</v>
      </c>
      <c r="L38" t="s">
        <v>6</v>
      </c>
      <c r="M38" t="s">
        <v>108</v>
      </c>
      <c r="N38" s="5" t="s">
        <v>197</v>
      </c>
    </row>
    <row r="39" spans="1:14" ht="15.75">
      <c r="A39" s="2" t="s">
        <v>32</v>
      </c>
      <c r="B39" t="s">
        <v>13</v>
      </c>
      <c r="C39" s="3">
        <v>8</v>
      </c>
      <c r="D39" t="s">
        <v>14</v>
      </c>
      <c r="E39" t="s">
        <v>109</v>
      </c>
      <c r="F39" s="5" t="s">
        <v>161</v>
      </c>
      <c r="I39" s="2" t="s">
        <v>193</v>
      </c>
      <c r="J39" t="s">
        <v>16</v>
      </c>
      <c r="K39" s="3">
        <v>128</v>
      </c>
      <c r="L39" t="s">
        <v>14</v>
      </c>
      <c r="M39" t="s">
        <v>109</v>
      </c>
      <c r="N39" s="5" t="s">
        <v>160</v>
      </c>
    </row>
    <row r="40" spans="1:14" ht="15.75">
      <c r="A40" s="2" t="s">
        <v>112</v>
      </c>
      <c r="B40" t="s">
        <v>11</v>
      </c>
      <c r="C40" s="3">
        <v>4</v>
      </c>
      <c r="D40" t="s">
        <v>14</v>
      </c>
      <c r="E40" t="s">
        <v>108</v>
      </c>
      <c r="F40" s="5" t="s">
        <v>170</v>
      </c>
      <c r="I40" s="2" t="s">
        <v>31</v>
      </c>
      <c r="J40" t="s">
        <v>16</v>
      </c>
      <c r="K40" s="3">
        <v>128</v>
      </c>
      <c r="L40" t="s">
        <v>14</v>
      </c>
      <c r="M40" t="s">
        <v>108</v>
      </c>
      <c r="N40" s="5" t="s">
        <v>141</v>
      </c>
    </row>
    <row r="41" spans="1:14" ht="15.75">
      <c r="A41" s="2" t="s">
        <v>33</v>
      </c>
      <c r="B41" t="s">
        <v>16</v>
      </c>
      <c r="C41" s="3">
        <v>1</v>
      </c>
      <c r="D41" t="s">
        <v>14</v>
      </c>
      <c r="E41" t="s">
        <v>109</v>
      </c>
      <c r="F41" s="5" t="s">
        <v>157</v>
      </c>
      <c r="I41" s="2" t="s">
        <v>32</v>
      </c>
      <c r="J41" t="s">
        <v>13</v>
      </c>
      <c r="K41" s="3">
        <v>8</v>
      </c>
      <c r="L41" t="s">
        <v>14</v>
      </c>
      <c r="M41" t="s">
        <v>109</v>
      </c>
      <c r="N41" s="5" t="s">
        <v>161</v>
      </c>
    </row>
    <row r="42" spans="1:14" ht="15.75">
      <c r="A42" s="2"/>
      <c r="C42" s="3"/>
      <c r="I42" s="2" t="s">
        <v>217</v>
      </c>
      <c r="J42" t="s">
        <v>16</v>
      </c>
      <c r="K42" s="3">
        <v>128</v>
      </c>
      <c r="L42" t="s">
        <v>14</v>
      </c>
      <c r="M42" t="s">
        <v>108</v>
      </c>
      <c r="N42" s="5" t="s">
        <v>141</v>
      </c>
    </row>
    <row r="43" spans="1:14" ht="15.75">
      <c r="A43" t="s">
        <v>3</v>
      </c>
      <c r="C43">
        <v>1</v>
      </c>
      <c r="D43" t="s">
        <v>3</v>
      </c>
      <c r="E43" t="s">
        <v>113</v>
      </c>
      <c r="I43" s="2" t="s">
        <v>236</v>
      </c>
      <c r="J43" t="s">
        <v>16</v>
      </c>
      <c r="K43">
        <v>128</v>
      </c>
      <c r="L43" t="s">
        <v>14</v>
      </c>
      <c r="M43" t="s">
        <v>109</v>
      </c>
      <c r="N43" s="5" t="s">
        <v>173</v>
      </c>
    </row>
    <row r="44" spans="1:14" ht="15.75">
      <c r="A44" s="2" t="s">
        <v>12</v>
      </c>
      <c r="B44" t="s">
        <v>13</v>
      </c>
      <c r="C44" s="3">
        <v>8</v>
      </c>
      <c r="D44" t="s">
        <v>14</v>
      </c>
      <c r="E44" t="s">
        <v>113</v>
      </c>
      <c r="F44" s="5">
        <v>4</v>
      </c>
      <c r="I44" s="2" t="s">
        <v>33</v>
      </c>
      <c r="J44" t="s">
        <v>16</v>
      </c>
      <c r="K44" s="3">
        <v>1</v>
      </c>
      <c r="L44" t="s">
        <v>14</v>
      </c>
      <c r="M44" t="s">
        <v>109</v>
      </c>
      <c r="N44" s="5" t="s">
        <v>157</v>
      </c>
    </row>
    <row r="45" spans="1:14" ht="15.75">
      <c r="A45" s="2" t="s">
        <v>114</v>
      </c>
      <c r="B45" t="s">
        <v>16</v>
      </c>
      <c r="C45" s="3">
        <v>1</v>
      </c>
      <c r="D45" t="s">
        <v>17</v>
      </c>
      <c r="E45" t="s">
        <v>113</v>
      </c>
      <c r="F45" s="5">
        <v>2</v>
      </c>
      <c r="I45" s="2" t="s">
        <v>218</v>
      </c>
      <c r="J45" t="s">
        <v>16</v>
      </c>
      <c r="K45" s="3">
        <v>128</v>
      </c>
      <c r="L45" t="s">
        <v>14</v>
      </c>
      <c r="M45" t="s">
        <v>108</v>
      </c>
      <c r="N45" s="5" t="s">
        <v>206</v>
      </c>
    </row>
    <row r="46" spans="1:14" ht="15.75">
      <c r="A46" s="2" t="s">
        <v>115</v>
      </c>
      <c r="B46" t="s">
        <v>16</v>
      </c>
      <c r="C46" s="3">
        <v>1</v>
      </c>
      <c r="D46" t="s">
        <v>17</v>
      </c>
      <c r="E46" t="s">
        <v>113</v>
      </c>
      <c r="F46" s="5">
        <v>14</v>
      </c>
    </row>
    <row r="47" spans="1:14" ht="15.75">
      <c r="A47" s="2" t="s">
        <v>98</v>
      </c>
      <c r="B47" t="s">
        <v>13</v>
      </c>
      <c r="C47" s="3">
        <v>8</v>
      </c>
      <c r="D47" t="s">
        <v>14</v>
      </c>
      <c r="E47" t="s">
        <v>139</v>
      </c>
      <c r="F47" s="5" t="s">
        <v>142</v>
      </c>
      <c r="I47" t="s">
        <v>3</v>
      </c>
      <c r="K47">
        <v>1</v>
      </c>
      <c r="L47" t="s">
        <v>3</v>
      </c>
      <c r="M47" t="s">
        <v>113</v>
      </c>
      <c r="N47" s="5"/>
    </row>
    <row r="48" spans="1:14" ht="15.75">
      <c r="A48" s="2" t="s">
        <v>97</v>
      </c>
      <c r="B48" t="s">
        <v>16</v>
      </c>
      <c r="C48" s="3">
        <v>128</v>
      </c>
      <c r="D48" t="s">
        <v>14</v>
      </c>
      <c r="E48" t="s">
        <v>139</v>
      </c>
      <c r="F48" s="5" t="s">
        <v>164</v>
      </c>
      <c r="I48" s="2" t="s">
        <v>97</v>
      </c>
      <c r="J48" t="s">
        <v>16</v>
      </c>
      <c r="K48">
        <v>128</v>
      </c>
      <c r="L48" t="s">
        <v>14</v>
      </c>
      <c r="M48" t="s">
        <v>113</v>
      </c>
      <c r="N48" s="5" t="s">
        <v>141</v>
      </c>
    </row>
    <row r="49" spans="1:14" ht="15.75">
      <c r="A49" s="2" t="s">
        <v>18</v>
      </c>
      <c r="B49" t="s">
        <v>16</v>
      </c>
      <c r="C49" s="3">
        <v>128</v>
      </c>
      <c r="D49" t="s">
        <v>17</v>
      </c>
      <c r="E49" t="s">
        <v>139</v>
      </c>
      <c r="F49" s="5" t="s">
        <v>143</v>
      </c>
      <c r="I49" s="2" t="s">
        <v>219</v>
      </c>
      <c r="J49" t="s">
        <v>16</v>
      </c>
      <c r="K49">
        <v>128</v>
      </c>
      <c r="L49" t="s">
        <v>14</v>
      </c>
      <c r="M49" t="s">
        <v>113</v>
      </c>
      <c r="N49" s="5">
        <v>1</v>
      </c>
    </row>
    <row r="50" spans="1:14" ht="15.75">
      <c r="A50" s="2" t="s">
        <v>15</v>
      </c>
      <c r="B50" t="s">
        <v>16</v>
      </c>
      <c r="C50" s="3">
        <v>128</v>
      </c>
      <c r="D50" t="s">
        <v>17</v>
      </c>
      <c r="E50" t="s">
        <v>113</v>
      </c>
      <c r="F50" s="5">
        <v>27</v>
      </c>
      <c r="I50" s="2" t="s">
        <v>117</v>
      </c>
      <c r="J50" t="s">
        <v>13</v>
      </c>
      <c r="K50">
        <v>8</v>
      </c>
      <c r="L50" t="s">
        <v>14</v>
      </c>
      <c r="M50" t="s">
        <v>113</v>
      </c>
      <c r="N50" s="5">
        <v>6</v>
      </c>
    </row>
    <row r="51" spans="1:14" ht="15.75">
      <c r="A51" s="2" t="s">
        <v>86</v>
      </c>
      <c r="B51" t="s">
        <v>19</v>
      </c>
      <c r="C51" s="3">
        <v>1</v>
      </c>
      <c r="D51" t="s">
        <v>6</v>
      </c>
      <c r="E51" t="s">
        <v>113</v>
      </c>
      <c r="F51" s="5">
        <v>5</v>
      </c>
      <c r="I51" s="2" t="s">
        <v>20</v>
      </c>
      <c r="J51" t="s">
        <v>16</v>
      </c>
      <c r="K51">
        <v>16</v>
      </c>
      <c r="L51" t="s">
        <v>6</v>
      </c>
      <c r="M51" t="s">
        <v>113</v>
      </c>
      <c r="N51" s="5">
        <v>14</v>
      </c>
    </row>
    <row r="52" spans="1:14" ht="15.75">
      <c r="A52" s="2" t="s">
        <v>85</v>
      </c>
      <c r="B52" t="s">
        <v>11</v>
      </c>
      <c r="C52" s="3">
        <v>4</v>
      </c>
      <c r="D52" t="s">
        <v>14</v>
      </c>
      <c r="E52" t="s">
        <v>113</v>
      </c>
      <c r="F52" s="5">
        <v>5</v>
      </c>
      <c r="I52" s="2" t="s">
        <v>234</v>
      </c>
      <c r="J52" t="s">
        <v>11</v>
      </c>
      <c r="K52">
        <v>4</v>
      </c>
      <c r="L52" t="s">
        <v>14</v>
      </c>
      <c r="M52" t="s">
        <v>113</v>
      </c>
      <c r="N52" s="5" t="s">
        <v>238</v>
      </c>
    </row>
    <row r="53" spans="1:14" ht="15.75">
      <c r="A53" s="2" t="s">
        <v>116</v>
      </c>
      <c r="B53" t="s">
        <v>13</v>
      </c>
      <c r="C53" s="3">
        <v>8</v>
      </c>
      <c r="D53" t="s">
        <v>14</v>
      </c>
      <c r="E53" t="s">
        <v>113</v>
      </c>
      <c r="F53" s="5">
        <v>4</v>
      </c>
      <c r="I53" s="2" t="s">
        <v>220</v>
      </c>
      <c r="J53" t="s">
        <v>16</v>
      </c>
      <c r="K53">
        <v>16</v>
      </c>
      <c r="L53" t="s">
        <v>6</v>
      </c>
      <c r="M53" t="s">
        <v>113</v>
      </c>
      <c r="N53" s="5">
        <v>2</v>
      </c>
    </row>
    <row r="54" spans="1:14" ht="15.75">
      <c r="A54" s="2" t="s">
        <v>117</v>
      </c>
      <c r="B54" t="s">
        <v>13</v>
      </c>
      <c r="C54" s="3">
        <v>8</v>
      </c>
      <c r="D54" t="s">
        <v>14</v>
      </c>
      <c r="E54" t="s">
        <v>113</v>
      </c>
      <c r="F54" s="5">
        <v>6</v>
      </c>
      <c r="I54" s="2" t="s">
        <v>221</v>
      </c>
      <c r="J54" t="s">
        <v>16</v>
      </c>
      <c r="K54">
        <v>128</v>
      </c>
      <c r="L54" t="s">
        <v>14</v>
      </c>
      <c r="M54" t="s">
        <v>113</v>
      </c>
      <c r="N54" s="5">
        <v>14</v>
      </c>
    </row>
    <row r="55" spans="1:14" ht="15.75">
      <c r="A55" s="2" t="s">
        <v>118</v>
      </c>
      <c r="B55" t="s">
        <v>16</v>
      </c>
      <c r="C55" s="3">
        <v>1</v>
      </c>
      <c r="D55" t="s">
        <v>17</v>
      </c>
      <c r="E55" t="s">
        <v>113</v>
      </c>
      <c r="F55" s="5">
        <v>2</v>
      </c>
      <c r="I55" s="2" t="s">
        <v>235</v>
      </c>
      <c r="J55" t="s">
        <v>16</v>
      </c>
      <c r="K55">
        <v>128</v>
      </c>
      <c r="L55" t="s">
        <v>14</v>
      </c>
      <c r="M55" t="s">
        <v>113</v>
      </c>
      <c r="N55" s="5" t="s">
        <v>173</v>
      </c>
    </row>
    <row r="56" spans="1:14" ht="15.75">
      <c r="A56" s="2" t="s">
        <v>119</v>
      </c>
      <c r="B56" t="s">
        <v>13</v>
      </c>
      <c r="C56" s="3">
        <v>8</v>
      </c>
      <c r="D56" t="s">
        <v>14</v>
      </c>
      <c r="E56" t="s">
        <v>113</v>
      </c>
      <c r="F56" s="5">
        <v>6</v>
      </c>
      <c r="I56" s="2" t="s">
        <v>185</v>
      </c>
      <c r="J56" t="s">
        <v>16</v>
      </c>
      <c r="K56" s="3">
        <v>16</v>
      </c>
      <c r="L56" t="s">
        <v>6</v>
      </c>
      <c r="M56" t="s">
        <v>113</v>
      </c>
      <c r="N56" s="5">
        <v>2</v>
      </c>
    </row>
    <row r="57" spans="1:14" ht="15.75">
      <c r="A57" s="2" t="s">
        <v>20</v>
      </c>
      <c r="B57" t="s">
        <v>16</v>
      </c>
      <c r="C57" s="3">
        <v>128</v>
      </c>
      <c r="D57" t="s">
        <v>21</v>
      </c>
      <c r="E57" t="s">
        <v>113</v>
      </c>
      <c r="F57" s="5">
        <v>14</v>
      </c>
      <c r="I57" s="2" t="s">
        <v>222</v>
      </c>
      <c r="J57" t="s">
        <v>13</v>
      </c>
      <c r="K57">
        <v>8</v>
      </c>
      <c r="L57" t="s">
        <v>14</v>
      </c>
      <c r="M57" t="s">
        <v>113</v>
      </c>
      <c r="N57" s="5">
        <v>14</v>
      </c>
    </row>
    <row r="58" spans="1:14" ht="15.75">
      <c r="A58" s="2" t="s">
        <v>89</v>
      </c>
      <c r="B58" t="s">
        <v>16</v>
      </c>
      <c r="C58" s="3">
        <v>128</v>
      </c>
      <c r="D58" t="s">
        <v>14</v>
      </c>
      <c r="E58" t="s">
        <v>113</v>
      </c>
      <c r="F58" s="5">
        <v>27</v>
      </c>
      <c r="I58" s="2" t="s">
        <v>207</v>
      </c>
      <c r="J58" t="s">
        <v>13</v>
      </c>
      <c r="K58">
        <v>8</v>
      </c>
      <c r="L58" t="s">
        <v>14</v>
      </c>
      <c r="M58" t="s">
        <v>113</v>
      </c>
      <c r="N58" s="5" t="s">
        <v>208</v>
      </c>
    </row>
    <row r="59" spans="1:14" ht="15.75">
      <c r="A59" s="2" t="s">
        <v>134</v>
      </c>
      <c r="B59" t="s">
        <v>13</v>
      </c>
      <c r="C59" s="3">
        <v>8</v>
      </c>
      <c r="D59" t="s">
        <v>14</v>
      </c>
      <c r="E59" t="s">
        <v>139</v>
      </c>
      <c r="F59" s="5" t="s">
        <v>148</v>
      </c>
      <c r="I59" s="2" t="s">
        <v>223</v>
      </c>
      <c r="J59" t="s">
        <v>16</v>
      </c>
      <c r="K59">
        <v>128</v>
      </c>
      <c r="L59" t="s">
        <v>14</v>
      </c>
      <c r="M59" t="s">
        <v>113</v>
      </c>
      <c r="N59" s="5">
        <v>1</v>
      </c>
    </row>
    <row r="60" spans="1:14" ht="15.75">
      <c r="A60" s="2" t="s">
        <v>125</v>
      </c>
      <c r="B60" t="s">
        <v>16</v>
      </c>
      <c r="C60" s="3">
        <v>128</v>
      </c>
      <c r="D60" t="s">
        <v>14</v>
      </c>
      <c r="E60" t="s">
        <v>139</v>
      </c>
      <c r="F60" s="5" t="s">
        <v>144</v>
      </c>
      <c r="I60" s="2" t="s">
        <v>224</v>
      </c>
      <c r="J60" t="s">
        <v>13</v>
      </c>
      <c r="K60">
        <v>8</v>
      </c>
      <c r="L60" t="s">
        <v>14</v>
      </c>
      <c r="M60" t="s">
        <v>113</v>
      </c>
      <c r="N60" s="5">
        <v>1</v>
      </c>
    </row>
    <row r="61" spans="1:14" ht="15.75">
      <c r="A61" s="2" t="s">
        <v>22</v>
      </c>
      <c r="B61" t="s">
        <v>16</v>
      </c>
      <c r="C61" s="3">
        <v>1</v>
      </c>
      <c r="D61" t="s">
        <v>17</v>
      </c>
      <c r="E61" t="s">
        <v>139</v>
      </c>
      <c r="F61" s="5" t="s">
        <v>145</v>
      </c>
      <c r="I61" s="2" t="s">
        <v>140</v>
      </c>
      <c r="J61" t="s">
        <v>16</v>
      </c>
      <c r="K61" s="3">
        <v>128</v>
      </c>
      <c r="L61" t="s">
        <v>14</v>
      </c>
      <c r="M61" t="s">
        <v>113</v>
      </c>
      <c r="N61" s="5">
        <v>9</v>
      </c>
    </row>
    <row r="62" spans="1:14" ht="15.75">
      <c r="A62" s="2" t="s">
        <v>120</v>
      </c>
      <c r="B62" t="s">
        <v>16</v>
      </c>
      <c r="C62" s="3">
        <v>128</v>
      </c>
      <c r="D62" t="s">
        <v>14</v>
      </c>
      <c r="E62" t="s">
        <v>113</v>
      </c>
      <c r="F62" s="5">
        <v>4</v>
      </c>
      <c r="I62" s="2" t="s">
        <v>225</v>
      </c>
      <c r="J62" t="s">
        <v>16</v>
      </c>
      <c r="K62" s="3">
        <v>16</v>
      </c>
      <c r="L62" t="s">
        <v>6</v>
      </c>
      <c r="M62" t="s">
        <v>113</v>
      </c>
      <c r="N62" s="5">
        <v>2</v>
      </c>
    </row>
    <row r="63" spans="1:14" ht="15.75">
      <c r="A63" s="2" t="s">
        <v>126</v>
      </c>
      <c r="B63" t="s">
        <v>16</v>
      </c>
      <c r="C63" s="3">
        <v>128</v>
      </c>
      <c r="D63" t="s">
        <v>14</v>
      </c>
      <c r="E63" t="s">
        <v>139</v>
      </c>
      <c r="F63" s="5" t="s">
        <v>146</v>
      </c>
      <c r="I63" s="2" t="s">
        <v>233</v>
      </c>
      <c r="J63" t="s">
        <v>16</v>
      </c>
      <c r="K63">
        <v>128</v>
      </c>
      <c r="L63" t="s">
        <v>14</v>
      </c>
      <c r="M63" t="s">
        <v>113</v>
      </c>
      <c r="N63" s="5" t="s">
        <v>237</v>
      </c>
    </row>
    <row r="64" spans="1:14" ht="15.75">
      <c r="A64" s="2" t="s">
        <v>172</v>
      </c>
      <c r="B64" t="s">
        <v>13</v>
      </c>
      <c r="C64" s="3">
        <v>8</v>
      </c>
      <c r="D64" t="s">
        <v>14</v>
      </c>
      <c r="E64" t="s">
        <v>139</v>
      </c>
      <c r="F64" s="5" t="s">
        <v>174</v>
      </c>
      <c r="I64" s="2" t="s">
        <v>226</v>
      </c>
      <c r="J64" t="s">
        <v>16</v>
      </c>
      <c r="K64">
        <v>128</v>
      </c>
      <c r="L64" t="s">
        <v>14</v>
      </c>
      <c r="M64" t="s">
        <v>113</v>
      </c>
      <c r="N64" s="5" t="s">
        <v>211</v>
      </c>
    </row>
    <row r="65" spans="1:14" ht="15.75">
      <c r="A65" s="2" t="s">
        <v>171</v>
      </c>
      <c r="B65" t="s">
        <v>13</v>
      </c>
      <c r="C65" s="3">
        <v>8</v>
      </c>
      <c r="D65" t="s">
        <v>14</v>
      </c>
      <c r="E65" t="s">
        <v>113</v>
      </c>
      <c r="F65" s="5" t="s">
        <v>173</v>
      </c>
      <c r="I65" s="2" t="s">
        <v>227</v>
      </c>
      <c r="J65" t="s">
        <v>16</v>
      </c>
      <c r="K65">
        <v>128</v>
      </c>
      <c r="L65" t="s">
        <v>14</v>
      </c>
      <c r="M65" t="s">
        <v>113</v>
      </c>
      <c r="N65" s="5">
        <v>14</v>
      </c>
    </row>
    <row r="66" spans="1:14" ht="15.75">
      <c r="A66" s="2" t="s">
        <v>135</v>
      </c>
      <c r="B66" t="s">
        <v>11</v>
      </c>
      <c r="C66" s="3">
        <v>4</v>
      </c>
      <c r="D66" t="s">
        <v>14</v>
      </c>
      <c r="E66" t="s">
        <v>139</v>
      </c>
      <c r="F66" s="5" t="s">
        <v>149</v>
      </c>
      <c r="I66" s="2" t="s">
        <v>228</v>
      </c>
      <c r="J66" t="s">
        <v>16</v>
      </c>
      <c r="K66">
        <v>128</v>
      </c>
      <c r="L66" t="s">
        <v>14</v>
      </c>
      <c r="M66" t="s">
        <v>113</v>
      </c>
      <c r="N66" s="5">
        <v>1</v>
      </c>
    </row>
    <row r="67" spans="1:14" ht="15.75">
      <c r="A67" s="2" t="s">
        <v>140</v>
      </c>
      <c r="B67" t="s">
        <v>16</v>
      </c>
      <c r="C67" s="3">
        <v>128</v>
      </c>
      <c r="D67" t="s">
        <v>14</v>
      </c>
      <c r="E67" t="s">
        <v>113</v>
      </c>
      <c r="F67" s="5">
        <v>9</v>
      </c>
      <c r="I67" s="2" t="s">
        <v>209</v>
      </c>
      <c r="J67" t="s">
        <v>13</v>
      </c>
      <c r="K67" s="3">
        <v>8</v>
      </c>
      <c r="L67" t="s">
        <v>14</v>
      </c>
      <c r="M67" t="s">
        <v>113</v>
      </c>
      <c r="N67" s="5" t="s">
        <v>141</v>
      </c>
    </row>
    <row r="68" spans="1:14" ht="15.75">
      <c r="A68" s="2" t="s">
        <v>24</v>
      </c>
      <c r="B68" t="s">
        <v>13</v>
      </c>
      <c r="C68" s="3">
        <v>8</v>
      </c>
      <c r="D68" t="s">
        <v>14</v>
      </c>
      <c r="E68" t="s">
        <v>139</v>
      </c>
      <c r="F68" s="5" t="s">
        <v>150</v>
      </c>
      <c r="I68" s="2" t="s">
        <v>229</v>
      </c>
      <c r="J68" t="s">
        <v>16</v>
      </c>
      <c r="K68">
        <v>128</v>
      </c>
      <c r="L68" t="s">
        <v>14</v>
      </c>
      <c r="M68" t="s">
        <v>113</v>
      </c>
      <c r="N68" s="5">
        <v>2</v>
      </c>
    </row>
    <row r="69" spans="1:14" ht="15.75">
      <c r="A69" s="2" t="s">
        <v>105</v>
      </c>
      <c r="B69" t="s">
        <v>16</v>
      </c>
      <c r="C69" s="3">
        <v>128</v>
      </c>
      <c r="D69" t="s">
        <v>14</v>
      </c>
      <c r="E69" t="s">
        <v>139</v>
      </c>
      <c r="F69" s="5" t="s">
        <v>147</v>
      </c>
      <c r="I69" s="2" t="s">
        <v>230</v>
      </c>
      <c r="J69" t="s">
        <v>16</v>
      </c>
      <c r="K69">
        <v>128</v>
      </c>
      <c r="L69" t="s">
        <v>14</v>
      </c>
      <c r="M69" t="s">
        <v>113</v>
      </c>
      <c r="N69" s="5">
        <v>2</v>
      </c>
    </row>
    <row r="70" spans="1:14" ht="15.75">
      <c r="A70" s="2" t="s">
        <v>121</v>
      </c>
      <c r="B70" t="s">
        <v>16</v>
      </c>
      <c r="C70" s="3">
        <v>1</v>
      </c>
      <c r="D70" t="s">
        <v>17</v>
      </c>
      <c r="E70" t="s">
        <v>113</v>
      </c>
      <c r="F70" s="5">
        <v>27</v>
      </c>
      <c r="I70" s="2" t="s">
        <v>72</v>
      </c>
      <c r="J70" t="s">
        <v>13</v>
      </c>
      <c r="K70" s="3">
        <v>8</v>
      </c>
      <c r="L70" t="s">
        <v>14</v>
      </c>
      <c r="M70" t="s">
        <v>113</v>
      </c>
      <c r="N70" s="5">
        <v>14</v>
      </c>
    </row>
    <row r="71" spans="1:14" ht="15.75">
      <c r="A71" s="2" t="s">
        <v>26</v>
      </c>
      <c r="B71" t="s">
        <v>16</v>
      </c>
      <c r="C71" s="3">
        <v>128</v>
      </c>
      <c r="D71" t="s">
        <v>14</v>
      </c>
      <c r="E71" t="s">
        <v>113</v>
      </c>
      <c r="F71" s="5">
        <v>10</v>
      </c>
      <c r="I71" s="2" t="s">
        <v>123</v>
      </c>
      <c r="J71" t="s">
        <v>16</v>
      </c>
      <c r="K71">
        <v>128</v>
      </c>
      <c r="L71" t="s">
        <v>14</v>
      </c>
      <c r="M71" t="s">
        <v>113</v>
      </c>
      <c r="N71" s="5">
        <v>14</v>
      </c>
    </row>
    <row r="72" spans="1:14" ht="15.75">
      <c r="A72" s="2" t="s">
        <v>122</v>
      </c>
      <c r="B72" t="s">
        <v>16</v>
      </c>
      <c r="C72" s="3">
        <v>16</v>
      </c>
      <c r="D72" t="s">
        <v>6</v>
      </c>
      <c r="E72" t="s">
        <v>113</v>
      </c>
      <c r="F72" s="5">
        <v>2</v>
      </c>
      <c r="I72" s="2" t="s">
        <v>231</v>
      </c>
      <c r="J72" t="s">
        <v>16</v>
      </c>
      <c r="K72">
        <v>128</v>
      </c>
      <c r="L72" t="s">
        <v>14</v>
      </c>
      <c r="M72" t="s">
        <v>113</v>
      </c>
      <c r="N72" s="5">
        <v>1</v>
      </c>
    </row>
    <row r="73" spans="1:14" ht="15.75">
      <c r="A73" s="2" t="s">
        <v>127</v>
      </c>
      <c r="B73" t="s">
        <v>16</v>
      </c>
      <c r="C73" s="3">
        <v>128</v>
      </c>
      <c r="D73" t="s">
        <v>14</v>
      </c>
      <c r="E73" t="s">
        <v>139</v>
      </c>
      <c r="F73" s="5" t="s">
        <v>145</v>
      </c>
      <c r="I73" s="2" t="s">
        <v>136</v>
      </c>
      <c r="J73" t="s">
        <v>13</v>
      </c>
      <c r="K73">
        <v>8</v>
      </c>
      <c r="L73" t="s">
        <v>14</v>
      </c>
      <c r="M73" t="s">
        <v>113</v>
      </c>
      <c r="N73" s="5" t="s">
        <v>152</v>
      </c>
    </row>
    <row r="74" spans="1:14" ht="15.75">
      <c r="A74" s="2" t="s">
        <v>128</v>
      </c>
      <c r="B74" t="s">
        <v>16</v>
      </c>
      <c r="C74" s="3">
        <v>128</v>
      </c>
      <c r="D74" t="s">
        <v>14</v>
      </c>
      <c r="E74" t="s">
        <v>139</v>
      </c>
      <c r="F74" s="5" t="s">
        <v>151</v>
      </c>
      <c r="I74" s="2" t="s">
        <v>213</v>
      </c>
      <c r="J74" t="s">
        <v>16</v>
      </c>
      <c r="K74" s="3">
        <v>16</v>
      </c>
      <c r="L74" t="s">
        <v>6</v>
      </c>
      <c r="M74" t="s">
        <v>113</v>
      </c>
      <c r="N74" s="5" t="s">
        <v>151</v>
      </c>
    </row>
    <row r="75" spans="1:14" ht="15.75">
      <c r="A75" s="2" t="s">
        <v>123</v>
      </c>
      <c r="B75" t="s">
        <v>16</v>
      </c>
      <c r="C75" s="3">
        <v>128</v>
      </c>
      <c r="D75" t="s">
        <v>14</v>
      </c>
      <c r="E75" t="s">
        <v>113</v>
      </c>
      <c r="F75" s="5">
        <v>14</v>
      </c>
      <c r="I75" s="2" t="s">
        <v>232</v>
      </c>
      <c r="J75" t="s">
        <v>13</v>
      </c>
      <c r="K75" s="3">
        <v>8</v>
      </c>
      <c r="L75" t="s">
        <v>14</v>
      </c>
      <c r="M75" t="s">
        <v>113</v>
      </c>
      <c r="N75" s="5">
        <v>14</v>
      </c>
    </row>
    <row r="76" spans="1:14" ht="15.75">
      <c r="A76" s="2" t="s">
        <v>129</v>
      </c>
      <c r="B76" t="s">
        <v>16</v>
      </c>
      <c r="C76" s="3">
        <v>128</v>
      </c>
      <c r="D76" t="s">
        <v>14</v>
      </c>
      <c r="E76" t="s">
        <v>139</v>
      </c>
      <c r="F76" s="5" t="s">
        <v>145</v>
      </c>
      <c r="I76" s="2" t="s">
        <v>217</v>
      </c>
      <c r="J76" t="s">
        <v>16</v>
      </c>
      <c r="K76">
        <v>128</v>
      </c>
      <c r="L76" t="s">
        <v>14</v>
      </c>
      <c r="M76" t="s">
        <v>113</v>
      </c>
      <c r="N76" s="5" t="s">
        <v>141</v>
      </c>
    </row>
    <row r="77" spans="1:14" ht="15.75">
      <c r="A77" s="2" t="s">
        <v>136</v>
      </c>
      <c r="B77" t="s">
        <v>13</v>
      </c>
      <c r="C77" s="3">
        <v>8</v>
      </c>
      <c r="D77" t="s">
        <v>14</v>
      </c>
      <c r="E77" t="s">
        <v>139</v>
      </c>
      <c r="F77" s="5" t="s">
        <v>152</v>
      </c>
      <c r="I77" s="2" t="s">
        <v>236</v>
      </c>
      <c r="J77" t="s">
        <v>16</v>
      </c>
      <c r="K77">
        <v>128</v>
      </c>
      <c r="L77" t="s">
        <v>14</v>
      </c>
      <c r="M77" t="s">
        <v>113</v>
      </c>
      <c r="N77" s="5" t="s">
        <v>173</v>
      </c>
    </row>
    <row r="78" spans="1:14" ht="15.75">
      <c r="A78" s="2" t="s">
        <v>130</v>
      </c>
      <c r="B78" t="s">
        <v>16</v>
      </c>
      <c r="C78" s="3">
        <v>128</v>
      </c>
      <c r="D78" t="s">
        <v>14</v>
      </c>
      <c r="E78" t="s">
        <v>139</v>
      </c>
      <c r="F78" s="5" t="s">
        <v>153</v>
      </c>
    </row>
    <row r="79" spans="1:14" ht="15.75">
      <c r="A79" s="2" t="s">
        <v>131</v>
      </c>
      <c r="B79" t="s">
        <v>16</v>
      </c>
      <c r="C79" s="3">
        <v>1</v>
      </c>
      <c r="D79" t="s">
        <v>17</v>
      </c>
      <c r="E79" t="s">
        <v>139</v>
      </c>
      <c r="F79" s="5" t="s">
        <v>154</v>
      </c>
    </row>
    <row r="80" spans="1:14" ht="15.75">
      <c r="A80" s="2" t="s">
        <v>132</v>
      </c>
      <c r="B80" t="s">
        <v>16</v>
      </c>
      <c r="C80" s="3">
        <v>128</v>
      </c>
      <c r="D80" t="s">
        <v>14</v>
      </c>
      <c r="E80" t="s">
        <v>139</v>
      </c>
      <c r="F80" s="5" t="s">
        <v>151</v>
      </c>
    </row>
    <row r="81" spans="1:20" ht="15.75">
      <c r="A81" s="2" t="s">
        <v>124</v>
      </c>
      <c r="B81" t="s">
        <v>16</v>
      </c>
      <c r="C81" s="3">
        <v>128</v>
      </c>
      <c r="D81" t="s">
        <v>14</v>
      </c>
      <c r="E81" t="s">
        <v>113</v>
      </c>
      <c r="F81" s="5">
        <v>4</v>
      </c>
    </row>
    <row r="82" spans="1:20" ht="15.75">
      <c r="A82" s="2" t="s">
        <v>133</v>
      </c>
      <c r="B82" t="s">
        <v>16</v>
      </c>
      <c r="C82" s="3">
        <v>128</v>
      </c>
      <c r="D82" t="s">
        <v>14</v>
      </c>
      <c r="E82" t="s">
        <v>139</v>
      </c>
      <c r="F82" s="5" t="s">
        <v>147</v>
      </c>
    </row>
    <row r="83" spans="1:20" ht="15.75">
      <c r="A83" s="2"/>
      <c r="C83" s="3"/>
    </row>
    <row r="84" spans="1:20" ht="21">
      <c r="A84" s="598" t="s">
        <v>74</v>
      </c>
      <c r="B84" s="598"/>
      <c r="C84" s="598"/>
      <c r="D84" s="598"/>
    </row>
    <row r="85" spans="1:20">
      <c r="A85" t="s">
        <v>3</v>
      </c>
      <c r="C85">
        <v>1</v>
      </c>
      <c r="D85" t="s">
        <v>3</v>
      </c>
    </row>
    <row r="86" spans="1:20" ht="15.75">
      <c r="A86" s="2" t="s">
        <v>34</v>
      </c>
      <c r="B86" t="s">
        <v>19</v>
      </c>
      <c r="C86" s="3">
        <v>1</v>
      </c>
      <c r="D86" t="s">
        <v>6</v>
      </c>
    </row>
    <row r="87" spans="1:20" ht="15.75">
      <c r="A87" s="2" t="s">
        <v>75</v>
      </c>
      <c r="B87" t="s">
        <v>13</v>
      </c>
      <c r="C87" s="3">
        <v>8</v>
      </c>
      <c r="D87" t="s">
        <v>14</v>
      </c>
    </row>
    <row r="88" spans="1:20" ht="15.75">
      <c r="A88" s="2" t="s">
        <v>76</v>
      </c>
      <c r="B88" t="s">
        <v>13</v>
      </c>
      <c r="C88" s="3">
        <v>8</v>
      </c>
      <c r="D88" t="s">
        <v>14</v>
      </c>
    </row>
    <row r="89" spans="1:20" ht="15.75">
      <c r="A89" s="2" t="s">
        <v>78</v>
      </c>
      <c r="B89" t="s">
        <v>16</v>
      </c>
      <c r="C89" s="3">
        <v>1</v>
      </c>
      <c r="D89" t="s">
        <v>14</v>
      </c>
    </row>
    <row r="90" spans="1:20" ht="15.75">
      <c r="A90" s="2" t="s">
        <v>79</v>
      </c>
      <c r="B90" t="s">
        <v>16</v>
      </c>
      <c r="C90" s="3">
        <v>128</v>
      </c>
      <c r="D90" t="s">
        <v>14</v>
      </c>
    </row>
    <row r="91" spans="1:20" ht="15.75">
      <c r="A91" s="2" t="s">
        <v>77</v>
      </c>
      <c r="B91" t="s">
        <v>11</v>
      </c>
      <c r="C91" s="3">
        <v>4</v>
      </c>
      <c r="D91" t="s">
        <v>14</v>
      </c>
    </row>
    <row r="92" spans="1:20" ht="15.75">
      <c r="A92" s="2"/>
      <c r="C92" s="3"/>
    </row>
    <row r="94" spans="1:20" ht="21">
      <c r="A94" s="598" t="s">
        <v>298</v>
      </c>
      <c r="B94" s="598"/>
      <c r="C94" s="598"/>
      <c r="D94" s="598"/>
      <c r="I94" s="598" t="s">
        <v>297</v>
      </c>
      <c r="J94" s="598"/>
      <c r="K94" s="598"/>
      <c r="L94" s="598"/>
      <c r="Q94" s="598" t="s">
        <v>296</v>
      </c>
      <c r="R94" s="598"/>
      <c r="S94" s="598"/>
      <c r="T94" s="598"/>
    </row>
    <row r="95" spans="1:20" ht="15.75">
      <c r="A95" s="2" t="s">
        <v>3</v>
      </c>
      <c r="C95" s="3">
        <v>1</v>
      </c>
      <c r="D95" t="s">
        <v>3</v>
      </c>
      <c r="I95" s="2" t="s">
        <v>3</v>
      </c>
      <c r="K95" s="3">
        <v>1</v>
      </c>
      <c r="L95" t="s">
        <v>3</v>
      </c>
      <c r="Q95" s="2" t="s">
        <v>3</v>
      </c>
      <c r="S95" s="3">
        <v>1</v>
      </c>
      <c r="T95" t="s">
        <v>3</v>
      </c>
    </row>
    <row r="96" spans="1:20">
      <c r="A96" t="s">
        <v>309</v>
      </c>
      <c r="B96" t="s">
        <v>16</v>
      </c>
      <c r="C96" s="3">
        <v>128</v>
      </c>
      <c r="D96" t="s">
        <v>5</v>
      </c>
      <c r="E96" s="1"/>
      <c r="I96" t="s">
        <v>289</v>
      </c>
      <c r="J96" t="s">
        <v>16</v>
      </c>
      <c r="K96" s="3">
        <v>128</v>
      </c>
      <c r="L96" t="s">
        <v>5</v>
      </c>
      <c r="Q96" t="s">
        <v>289</v>
      </c>
      <c r="R96" t="s">
        <v>16</v>
      </c>
      <c r="S96" s="3">
        <v>128</v>
      </c>
      <c r="T96" t="s">
        <v>5</v>
      </c>
    </row>
    <row r="97" spans="1:20">
      <c r="A97" t="s">
        <v>301</v>
      </c>
      <c r="B97" t="s">
        <v>16</v>
      </c>
      <c r="C97" s="3">
        <v>128</v>
      </c>
      <c r="D97" t="s">
        <v>5</v>
      </c>
      <c r="E97" s="1"/>
      <c r="I97" t="s">
        <v>290</v>
      </c>
      <c r="J97" t="s">
        <v>16</v>
      </c>
      <c r="K97" s="3">
        <v>128</v>
      </c>
      <c r="L97" t="s">
        <v>5</v>
      </c>
      <c r="Q97" t="s">
        <v>290</v>
      </c>
      <c r="R97" t="s">
        <v>16</v>
      </c>
      <c r="S97" s="3">
        <v>128</v>
      </c>
      <c r="T97" t="s">
        <v>5</v>
      </c>
    </row>
    <row r="98" spans="1:20">
      <c r="A98" t="s">
        <v>304</v>
      </c>
      <c r="B98" t="s">
        <v>16</v>
      </c>
      <c r="C98" s="3">
        <v>128</v>
      </c>
      <c r="D98" t="s">
        <v>5</v>
      </c>
      <c r="E98" s="1"/>
      <c r="I98" t="s">
        <v>281</v>
      </c>
      <c r="J98" t="s">
        <v>16</v>
      </c>
      <c r="K98" s="3">
        <v>128</v>
      </c>
      <c r="L98" t="s">
        <v>5</v>
      </c>
      <c r="Q98" t="s">
        <v>281</v>
      </c>
      <c r="R98" t="s">
        <v>16</v>
      </c>
      <c r="S98" s="3">
        <v>128</v>
      </c>
      <c r="T98" t="s">
        <v>5</v>
      </c>
    </row>
    <row r="99" spans="1:20">
      <c r="A99" t="s">
        <v>302</v>
      </c>
      <c r="B99" t="s">
        <v>16</v>
      </c>
      <c r="C99" s="3">
        <v>128</v>
      </c>
      <c r="D99" t="s">
        <v>5</v>
      </c>
      <c r="E99" s="1"/>
      <c r="I99" t="s">
        <v>284</v>
      </c>
      <c r="J99" t="s">
        <v>16</v>
      </c>
      <c r="K99" s="3">
        <v>128</v>
      </c>
      <c r="L99" t="s">
        <v>5</v>
      </c>
      <c r="Q99" t="s">
        <v>284</v>
      </c>
      <c r="R99" t="s">
        <v>16</v>
      </c>
      <c r="S99" s="3">
        <v>128</v>
      </c>
      <c r="T99" t="s">
        <v>5</v>
      </c>
    </row>
    <row r="100" spans="1:20">
      <c r="A100" t="s">
        <v>285</v>
      </c>
      <c r="B100" t="s">
        <v>16</v>
      </c>
      <c r="C100" s="3">
        <v>128</v>
      </c>
      <c r="D100" t="s">
        <v>5</v>
      </c>
      <c r="E100" s="1"/>
      <c r="I100" t="s">
        <v>291</v>
      </c>
      <c r="J100" t="s">
        <v>16</v>
      </c>
      <c r="K100" s="3">
        <v>128</v>
      </c>
      <c r="L100" t="s">
        <v>5</v>
      </c>
      <c r="Q100" t="s">
        <v>291</v>
      </c>
      <c r="R100" t="s">
        <v>16</v>
      </c>
      <c r="S100" s="3">
        <v>128</v>
      </c>
      <c r="T100" t="s">
        <v>5</v>
      </c>
    </row>
    <row r="101" spans="1:20">
      <c r="A101" t="s">
        <v>305</v>
      </c>
      <c r="B101" t="s">
        <v>16</v>
      </c>
      <c r="C101" s="3">
        <v>128</v>
      </c>
      <c r="D101" t="s">
        <v>5</v>
      </c>
      <c r="E101" s="1"/>
      <c r="I101" t="s">
        <v>283</v>
      </c>
      <c r="J101" t="s">
        <v>16</v>
      </c>
      <c r="K101" s="3">
        <v>128</v>
      </c>
      <c r="L101" t="s">
        <v>5</v>
      </c>
      <c r="Q101" t="s">
        <v>283</v>
      </c>
      <c r="R101" t="s">
        <v>16</v>
      </c>
      <c r="S101" s="3">
        <v>128</v>
      </c>
      <c r="T101" t="s">
        <v>5</v>
      </c>
    </row>
    <row r="102" spans="1:20">
      <c r="A102" t="s">
        <v>300</v>
      </c>
      <c r="B102" t="s">
        <v>16</v>
      </c>
      <c r="C102" s="3">
        <v>128</v>
      </c>
      <c r="D102" t="s">
        <v>5</v>
      </c>
      <c r="E102" s="1"/>
      <c r="I102" t="s">
        <v>285</v>
      </c>
      <c r="J102" t="s">
        <v>16</v>
      </c>
      <c r="K102" s="3">
        <v>128</v>
      </c>
      <c r="L102" t="s">
        <v>5</v>
      </c>
      <c r="Q102" t="s">
        <v>285</v>
      </c>
      <c r="R102" t="s">
        <v>16</v>
      </c>
      <c r="S102" s="3">
        <v>128</v>
      </c>
      <c r="T102" t="s">
        <v>5</v>
      </c>
    </row>
    <row r="103" spans="1:20">
      <c r="A103" t="s">
        <v>307</v>
      </c>
      <c r="B103" t="s">
        <v>16</v>
      </c>
      <c r="C103" s="3">
        <v>128</v>
      </c>
      <c r="D103" t="s">
        <v>5</v>
      </c>
      <c r="E103" s="1"/>
      <c r="I103" t="s">
        <v>282</v>
      </c>
      <c r="J103" t="s">
        <v>16</v>
      </c>
      <c r="K103" s="3">
        <v>128</v>
      </c>
      <c r="L103" t="s">
        <v>5</v>
      </c>
      <c r="Q103" t="s">
        <v>282</v>
      </c>
      <c r="R103" t="s">
        <v>16</v>
      </c>
      <c r="S103" s="3">
        <v>128</v>
      </c>
      <c r="T103" t="s">
        <v>5</v>
      </c>
    </row>
    <row r="104" spans="1:20">
      <c r="A104" t="s">
        <v>306</v>
      </c>
      <c r="B104" t="s">
        <v>16</v>
      </c>
      <c r="C104" s="3">
        <v>128</v>
      </c>
      <c r="D104" t="s">
        <v>5</v>
      </c>
      <c r="E104" s="1"/>
      <c r="I104" t="s">
        <v>292</v>
      </c>
      <c r="J104" t="s">
        <v>16</v>
      </c>
      <c r="K104" s="3">
        <v>128</v>
      </c>
      <c r="L104" t="s">
        <v>5</v>
      </c>
      <c r="Q104" t="s">
        <v>292</v>
      </c>
      <c r="R104" t="s">
        <v>16</v>
      </c>
      <c r="S104" s="3">
        <v>128</v>
      </c>
      <c r="T104" t="s">
        <v>5</v>
      </c>
    </row>
    <row r="105" spans="1:20">
      <c r="A105" t="s">
        <v>286</v>
      </c>
      <c r="B105" t="s">
        <v>16</v>
      </c>
      <c r="C105" s="3">
        <v>128</v>
      </c>
      <c r="D105" t="s">
        <v>5</v>
      </c>
      <c r="E105" s="1"/>
      <c r="I105" t="s">
        <v>293</v>
      </c>
      <c r="J105" t="s">
        <v>16</v>
      </c>
      <c r="K105" s="3">
        <v>128</v>
      </c>
      <c r="L105" t="s">
        <v>5</v>
      </c>
      <c r="Q105" t="s">
        <v>293</v>
      </c>
      <c r="R105" t="s">
        <v>16</v>
      </c>
      <c r="S105" s="3">
        <v>128</v>
      </c>
      <c r="T105" t="s">
        <v>5</v>
      </c>
    </row>
    <row r="106" spans="1:20">
      <c r="A106" t="s">
        <v>299</v>
      </c>
      <c r="B106" t="s">
        <v>16</v>
      </c>
      <c r="C106" s="3">
        <v>128</v>
      </c>
      <c r="D106" t="s">
        <v>5</v>
      </c>
      <c r="E106" s="1"/>
      <c r="I106" t="s">
        <v>35</v>
      </c>
      <c r="J106" t="s">
        <v>16</v>
      </c>
      <c r="K106" s="3">
        <v>128</v>
      </c>
      <c r="L106" t="s">
        <v>5</v>
      </c>
      <c r="Q106" t="s">
        <v>35</v>
      </c>
      <c r="R106" t="s">
        <v>16</v>
      </c>
      <c r="S106" s="3">
        <v>128</v>
      </c>
      <c r="T106" t="s">
        <v>5</v>
      </c>
    </row>
    <row r="107" spans="1:20">
      <c r="A107" t="s">
        <v>294</v>
      </c>
      <c r="B107" t="s">
        <v>16</v>
      </c>
      <c r="C107" s="3">
        <v>128</v>
      </c>
      <c r="D107" t="s">
        <v>5</v>
      </c>
      <c r="E107" s="1"/>
      <c r="I107" t="s">
        <v>286</v>
      </c>
      <c r="J107" t="s">
        <v>16</v>
      </c>
      <c r="K107" s="3">
        <v>128</v>
      </c>
      <c r="L107" t="s">
        <v>5</v>
      </c>
      <c r="Q107" t="s">
        <v>286</v>
      </c>
      <c r="R107" t="s">
        <v>16</v>
      </c>
      <c r="S107" s="3">
        <v>128</v>
      </c>
      <c r="T107" t="s">
        <v>5</v>
      </c>
    </row>
    <row r="108" spans="1:20">
      <c r="A108" t="s">
        <v>308</v>
      </c>
      <c r="B108" t="s">
        <v>16</v>
      </c>
      <c r="C108" s="3">
        <v>128</v>
      </c>
      <c r="D108" t="s">
        <v>5</v>
      </c>
      <c r="E108" s="1"/>
      <c r="I108" t="s">
        <v>287</v>
      </c>
      <c r="J108" t="s">
        <v>16</v>
      </c>
      <c r="K108" s="3">
        <v>128</v>
      </c>
      <c r="L108" t="s">
        <v>5</v>
      </c>
      <c r="Q108" t="s">
        <v>287</v>
      </c>
      <c r="R108" t="s">
        <v>16</v>
      </c>
      <c r="S108" s="3">
        <v>128</v>
      </c>
      <c r="T108" t="s">
        <v>5</v>
      </c>
    </row>
    <row r="109" spans="1:20">
      <c r="A109" t="s">
        <v>288</v>
      </c>
      <c r="B109" t="s">
        <v>16</v>
      </c>
      <c r="C109" s="3">
        <v>128</v>
      </c>
      <c r="D109" t="s">
        <v>5</v>
      </c>
      <c r="E109" s="1"/>
      <c r="I109" t="s">
        <v>294</v>
      </c>
      <c r="J109" t="s">
        <v>16</v>
      </c>
      <c r="K109" s="3">
        <v>128</v>
      </c>
      <c r="L109" t="s">
        <v>5</v>
      </c>
      <c r="Q109" t="s">
        <v>294</v>
      </c>
      <c r="R109" t="s">
        <v>16</v>
      </c>
      <c r="S109" s="3">
        <v>128</v>
      </c>
      <c r="T109" t="s">
        <v>5</v>
      </c>
    </row>
    <row r="110" spans="1:20">
      <c r="A110" t="s">
        <v>303</v>
      </c>
      <c r="B110" t="s">
        <v>16</v>
      </c>
      <c r="C110" s="3">
        <v>128</v>
      </c>
      <c r="D110" t="s">
        <v>5</v>
      </c>
      <c r="E110" s="1"/>
      <c r="I110" t="s">
        <v>36</v>
      </c>
      <c r="J110" t="s">
        <v>16</v>
      </c>
      <c r="K110" s="3">
        <v>128</v>
      </c>
      <c r="L110" t="s">
        <v>5</v>
      </c>
      <c r="Q110" t="s">
        <v>36</v>
      </c>
      <c r="R110" t="s">
        <v>16</v>
      </c>
      <c r="S110" s="3">
        <v>128</v>
      </c>
      <c r="T110" t="s">
        <v>5</v>
      </c>
    </row>
    <row r="111" spans="1:20">
      <c r="I111" t="s">
        <v>288</v>
      </c>
      <c r="J111" t="s">
        <v>16</v>
      </c>
      <c r="K111" s="3">
        <v>128</v>
      </c>
      <c r="L111" t="s">
        <v>5</v>
      </c>
      <c r="Q111" t="s">
        <v>288</v>
      </c>
      <c r="R111" t="s">
        <v>16</v>
      </c>
      <c r="S111" s="3">
        <v>128</v>
      </c>
      <c r="T111" t="s">
        <v>5</v>
      </c>
    </row>
    <row r="112" spans="1:20">
      <c r="I112" t="s">
        <v>295</v>
      </c>
      <c r="J112" t="s">
        <v>16</v>
      </c>
      <c r="K112" s="3">
        <v>128</v>
      </c>
      <c r="L112" t="s">
        <v>5</v>
      </c>
      <c r="Q112" t="s">
        <v>295</v>
      </c>
      <c r="R112" t="s">
        <v>16</v>
      </c>
      <c r="S112" s="3">
        <v>128</v>
      </c>
      <c r="T112" t="s">
        <v>5</v>
      </c>
    </row>
    <row r="113" spans="1:20">
      <c r="E113" s="1"/>
    </row>
    <row r="114" spans="1:20">
      <c r="E114" s="1"/>
    </row>
    <row r="115" spans="1:20">
      <c r="E115" s="1"/>
    </row>
    <row r="116" spans="1:20">
      <c r="E116" s="1"/>
    </row>
    <row r="117" spans="1:20" ht="21">
      <c r="A117" s="598" t="s">
        <v>80</v>
      </c>
      <c r="B117" s="598"/>
      <c r="C117" s="598"/>
      <c r="D117" s="598"/>
      <c r="E117" s="1"/>
      <c r="I117" s="598" t="s">
        <v>367</v>
      </c>
      <c r="J117" s="598"/>
      <c r="K117" s="598"/>
      <c r="L117" s="598"/>
      <c r="Q117" s="598" t="s">
        <v>80</v>
      </c>
      <c r="R117" s="598"/>
      <c r="S117" s="598"/>
      <c r="T117" s="598"/>
    </row>
    <row r="118" spans="1:20" ht="15.75">
      <c r="A118" s="2" t="s">
        <v>3</v>
      </c>
      <c r="C118" s="3">
        <v>1</v>
      </c>
      <c r="D118" t="s">
        <v>3</v>
      </c>
      <c r="E118" s="1"/>
      <c r="I118" s="2" t="s">
        <v>3</v>
      </c>
      <c r="K118" s="3">
        <v>1</v>
      </c>
      <c r="L118" t="s">
        <v>3</v>
      </c>
      <c r="Q118" s="2" t="s">
        <v>3</v>
      </c>
      <c r="S118" s="3">
        <v>1</v>
      </c>
      <c r="T118" t="s">
        <v>3</v>
      </c>
    </row>
    <row r="119" spans="1:20">
      <c r="A119" t="s">
        <v>81</v>
      </c>
      <c r="B119" t="s">
        <v>13</v>
      </c>
      <c r="C119" s="3">
        <v>8</v>
      </c>
      <c r="D119" t="s">
        <v>14</v>
      </c>
      <c r="E119" s="1"/>
      <c r="I119" t="s">
        <v>81</v>
      </c>
      <c r="J119" t="s">
        <v>13</v>
      </c>
      <c r="K119" s="3">
        <v>8</v>
      </c>
      <c r="L119" t="s">
        <v>14</v>
      </c>
      <c r="Q119" t="s">
        <v>81</v>
      </c>
      <c r="R119" t="s">
        <v>13</v>
      </c>
      <c r="S119" s="3">
        <v>8</v>
      </c>
      <c r="T119" t="s">
        <v>14</v>
      </c>
    </row>
    <row r="120" spans="1:20">
      <c r="A120" t="s">
        <v>82</v>
      </c>
      <c r="B120" t="s">
        <v>16</v>
      </c>
      <c r="C120" s="3">
        <v>1</v>
      </c>
      <c r="D120" t="s">
        <v>14</v>
      </c>
      <c r="I120" t="s">
        <v>82</v>
      </c>
      <c r="J120" t="s">
        <v>16</v>
      </c>
      <c r="K120" s="3">
        <v>1</v>
      </c>
      <c r="L120" t="s">
        <v>14</v>
      </c>
      <c r="Q120" t="s">
        <v>82</v>
      </c>
      <c r="R120" t="s">
        <v>16</v>
      </c>
      <c r="S120" s="3">
        <v>1</v>
      </c>
      <c r="T120" t="s">
        <v>14</v>
      </c>
    </row>
    <row r="121" spans="1:20">
      <c r="A121" t="s">
        <v>83</v>
      </c>
      <c r="B121" t="s">
        <v>19</v>
      </c>
      <c r="C121" s="3">
        <v>1</v>
      </c>
      <c r="D121" t="s">
        <v>6</v>
      </c>
      <c r="I121" t="s">
        <v>83</v>
      </c>
      <c r="J121" t="s">
        <v>19</v>
      </c>
      <c r="K121" s="3">
        <v>1</v>
      </c>
      <c r="L121" t="s">
        <v>6</v>
      </c>
      <c r="Q121" t="s">
        <v>83</v>
      </c>
      <c r="R121" t="s">
        <v>19</v>
      </c>
      <c r="S121" s="3">
        <v>1</v>
      </c>
      <c r="T121" t="s">
        <v>6</v>
      </c>
    </row>
    <row r="122" spans="1:20">
      <c r="A122" t="s">
        <v>84</v>
      </c>
      <c r="B122" t="s">
        <v>11</v>
      </c>
      <c r="C122" s="3">
        <v>4</v>
      </c>
      <c r="D122" t="s">
        <v>14</v>
      </c>
      <c r="I122" t="s">
        <v>84</v>
      </c>
      <c r="J122" t="s">
        <v>11</v>
      </c>
      <c r="K122" s="3">
        <v>4</v>
      </c>
      <c r="L122" t="s">
        <v>14</v>
      </c>
      <c r="Q122" t="s">
        <v>84</v>
      </c>
      <c r="R122" t="s">
        <v>11</v>
      </c>
      <c r="S122" s="3">
        <v>4</v>
      </c>
      <c r="T122" t="s">
        <v>14</v>
      </c>
    </row>
    <row r="125" spans="1:20" ht="15.75">
      <c r="A125" s="2" t="s">
        <v>3</v>
      </c>
      <c r="C125" s="3">
        <v>1</v>
      </c>
      <c r="D125" t="s">
        <v>3</v>
      </c>
      <c r="I125" s="2" t="s">
        <v>3</v>
      </c>
      <c r="K125" s="3">
        <v>1</v>
      </c>
      <c r="L125" t="s">
        <v>3</v>
      </c>
      <c r="Q125" s="2" t="s">
        <v>3</v>
      </c>
      <c r="S125" s="3">
        <v>1</v>
      </c>
      <c r="T125" t="s">
        <v>3</v>
      </c>
    </row>
    <row r="126" spans="1:20">
      <c r="A126" t="s">
        <v>331</v>
      </c>
      <c r="B126" t="s">
        <v>16</v>
      </c>
      <c r="C126" s="3">
        <v>1</v>
      </c>
      <c r="D126" t="s">
        <v>14</v>
      </c>
      <c r="I126" t="s">
        <v>331</v>
      </c>
      <c r="J126" t="s">
        <v>16</v>
      </c>
      <c r="K126" s="3">
        <v>1</v>
      </c>
      <c r="L126" t="s">
        <v>14</v>
      </c>
      <c r="Q126" t="s">
        <v>335</v>
      </c>
      <c r="R126" t="s">
        <v>16</v>
      </c>
      <c r="S126" s="3">
        <v>1</v>
      </c>
      <c r="T126" t="s">
        <v>14</v>
      </c>
    </row>
    <row r="127" spans="1:20">
      <c r="A127" t="s">
        <v>332</v>
      </c>
      <c r="B127" t="s">
        <v>16</v>
      </c>
      <c r="C127" s="3">
        <v>1</v>
      </c>
      <c r="D127" t="s">
        <v>14</v>
      </c>
      <c r="I127" t="s">
        <v>332</v>
      </c>
      <c r="J127" t="s">
        <v>16</v>
      </c>
      <c r="K127" s="3">
        <v>1</v>
      </c>
      <c r="L127" t="s">
        <v>14</v>
      </c>
      <c r="Q127" t="s">
        <v>369</v>
      </c>
      <c r="R127" t="s">
        <v>19</v>
      </c>
      <c r="S127" s="3">
        <v>5</v>
      </c>
      <c r="T127" t="s">
        <v>6</v>
      </c>
    </row>
    <row r="128" spans="1:20">
      <c r="A128" t="s">
        <v>333</v>
      </c>
      <c r="B128" t="s">
        <v>16</v>
      </c>
      <c r="C128" s="3">
        <v>1</v>
      </c>
      <c r="D128" t="s">
        <v>14</v>
      </c>
      <c r="I128" t="s">
        <v>333</v>
      </c>
      <c r="J128" t="s">
        <v>16</v>
      </c>
      <c r="K128" s="3">
        <v>1</v>
      </c>
      <c r="L128" t="s">
        <v>14</v>
      </c>
      <c r="Q128" t="s">
        <v>370</v>
      </c>
      <c r="R128" t="s">
        <v>13</v>
      </c>
      <c r="S128" s="3">
        <v>8</v>
      </c>
      <c r="T128" t="s">
        <v>14</v>
      </c>
    </row>
    <row r="129" spans="1:20">
      <c r="A129" t="s">
        <v>373</v>
      </c>
      <c r="B129" t="s">
        <v>16</v>
      </c>
      <c r="C129" s="3">
        <v>1</v>
      </c>
      <c r="D129" t="s">
        <v>14</v>
      </c>
      <c r="I129" t="s">
        <v>334</v>
      </c>
      <c r="J129" t="s">
        <v>16</v>
      </c>
      <c r="K129" s="3">
        <v>1</v>
      </c>
      <c r="L129" t="s">
        <v>14</v>
      </c>
      <c r="Q129" t="s">
        <v>330</v>
      </c>
      <c r="R129" t="s">
        <v>19</v>
      </c>
      <c r="S129" s="3">
        <v>1</v>
      </c>
      <c r="T129" t="s">
        <v>6</v>
      </c>
    </row>
    <row r="130" spans="1:20">
      <c r="A130" t="s">
        <v>374</v>
      </c>
      <c r="B130" t="s">
        <v>16</v>
      </c>
      <c r="C130" s="3">
        <v>1</v>
      </c>
      <c r="D130" t="s">
        <v>14</v>
      </c>
      <c r="I130" t="s">
        <v>335</v>
      </c>
      <c r="J130" t="s">
        <v>16</v>
      </c>
      <c r="K130" s="3">
        <v>1</v>
      </c>
      <c r="L130" t="s">
        <v>14</v>
      </c>
      <c r="Q130" t="s">
        <v>329</v>
      </c>
      <c r="R130" t="s">
        <v>16</v>
      </c>
      <c r="S130" s="3">
        <v>1</v>
      </c>
      <c r="T130" t="s">
        <v>14</v>
      </c>
    </row>
    <row r="131" spans="1:20">
      <c r="A131" t="s">
        <v>375</v>
      </c>
      <c r="B131" t="s">
        <v>16</v>
      </c>
      <c r="C131" s="3">
        <v>1</v>
      </c>
      <c r="D131" t="s">
        <v>14</v>
      </c>
      <c r="I131" t="s">
        <v>336</v>
      </c>
      <c r="J131" t="s">
        <v>16</v>
      </c>
      <c r="K131" s="3">
        <v>1</v>
      </c>
      <c r="L131" t="s">
        <v>14</v>
      </c>
      <c r="Q131" t="s">
        <v>372</v>
      </c>
      <c r="R131" t="s">
        <v>13</v>
      </c>
      <c r="S131" s="3">
        <v>8</v>
      </c>
      <c r="T131" t="s">
        <v>14</v>
      </c>
    </row>
    <row r="132" spans="1:20">
      <c r="A132" t="s">
        <v>336</v>
      </c>
      <c r="B132" t="s">
        <v>16</v>
      </c>
      <c r="C132" s="3">
        <v>1</v>
      </c>
      <c r="D132" t="s">
        <v>14</v>
      </c>
      <c r="I132" t="s">
        <v>337</v>
      </c>
      <c r="J132" t="s">
        <v>16</v>
      </c>
      <c r="K132" s="3">
        <v>1</v>
      </c>
      <c r="L132" t="s">
        <v>14</v>
      </c>
      <c r="Q132" t="s">
        <v>395</v>
      </c>
      <c r="R132" t="s">
        <v>16</v>
      </c>
      <c r="S132" s="3">
        <v>1</v>
      </c>
      <c r="T132" t="s">
        <v>14</v>
      </c>
    </row>
    <row r="133" spans="1:20">
      <c r="A133" t="s">
        <v>337</v>
      </c>
      <c r="B133" t="s">
        <v>16</v>
      </c>
      <c r="C133" s="3">
        <v>1</v>
      </c>
      <c r="D133" t="s">
        <v>14</v>
      </c>
      <c r="I133" t="s">
        <v>338</v>
      </c>
      <c r="J133" t="s">
        <v>16</v>
      </c>
      <c r="K133" s="3">
        <v>1</v>
      </c>
      <c r="L133" t="s">
        <v>14</v>
      </c>
      <c r="Q133" t="s">
        <v>391</v>
      </c>
      <c r="R133" t="s">
        <v>16</v>
      </c>
      <c r="S133" s="3">
        <v>1</v>
      </c>
      <c r="T133" t="s">
        <v>14</v>
      </c>
    </row>
    <row r="134" spans="1:20">
      <c r="A134" t="s">
        <v>376</v>
      </c>
      <c r="B134" t="s">
        <v>16</v>
      </c>
      <c r="C134" s="3">
        <v>1</v>
      </c>
      <c r="D134" t="s">
        <v>14</v>
      </c>
      <c r="I134" t="s">
        <v>339</v>
      </c>
      <c r="J134" t="s">
        <v>13</v>
      </c>
      <c r="K134" s="3">
        <v>8</v>
      </c>
      <c r="L134" t="s">
        <v>14</v>
      </c>
      <c r="Q134" t="s">
        <v>359</v>
      </c>
      <c r="R134" t="s">
        <v>11</v>
      </c>
      <c r="S134" s="3">
        <v>4</v>
      </c>
      <c r="T134" t="s">
        <v>14</v>
      </c>
    </row>
    <row r="135" spans="1:20">
      <c r="A135" t="s">
        <v>338</v>
      </c>
      <c r="B135" t="s">
        <v>16</v>
      </c>
      <c r="C135" s="3">
        <v>1</v>
      </c>
      <c r="D135" t="s">
        <v>14</v>
      </c>
      <c r="I135" t="s">
        <v>340</v>
      </c>
      <c r="J135" t="s">
        <v>13</v>
      </c>
      <c r="K135" s="3">
        <v>8</v>
      </c>
      <c r="L135" t="s">
        <v>14</v>
      </c>
      <c r="Q135" t="s">
        <v>363</v>
      </c>
      <c r="R135" t="s">
        <v>16</v>
      </c>
      <c r="S135" s="3">
        <v>1</v>
      </c>
      <c r="T135" t="s">
        <v>14</v>
      </c>
    </row>
    <row r="136" spans="1:20">
      <c r="A136" t="s">
        <v>377</v>
      </c>
      <c r="B136" t="s">
        <v>16</v>
      </c>
      <c r="C136" s="3">
        <v>1</v>
      </c>
      <c r="D136" t="s">
        <v>14</v>
      </c>
      <c r="I136" t="s">
        <v>341</v>
      </c>
      <c r="J136" t="s">
        <v>16</v>
      </c>
      <c r="K136" s="3">
        <v>1</v>
      </c>
      <c r="L136" t="s">
        <v>14</v>
      </c>
      <c r="Q136" t="s">
        <v>364</v>
      </c>
      <c r="R136" t="s">
        <v>16</v>
      </c>
      <c r="S136" s="3">
        <v>1</v>
      </c>
      <c r="T136" t="s">
        <v>14</v>
      </c>
    </row>
    <row r="137" spans="1:20">
      <c r="A137" t="s">
        <v>341</v>
      </c>
      <c r="B137" t="s">
        <v>16</v>
      </c>
      <c r="C137" s="3">
        <v>1</v>
      </c>
      <c r="D137" t="s">
        <v>14</v>
      </c>
      <c r="I137" t="s">
        <v>342</v>
      </c>
      <c r="J137" t="s">
        <v>13</v>
      </c>
      <c r="K137" s="3">
        <v>8</v>
      </c>
      <c r="L137" t="s">
        <v>14</v>
      </c>
    </row>
    <row r="138" spans="1:20">
      <c r="A138" t="s">
        <v>378</v>
      </c>
      <c r="B138" t="s">
        <v>13</v>
      </c>
      <c r="C138" s="3">
        <v>8</v>
      </c>
      <c r="D138" t="s">
        <v>14</v>
      </c>
      <c r="I138" t="s">
        <v>343</v>
      </c>
      <c r="J138" t="s">
        <v>13</v>
      </c>
      <c r="K138" s="3">
        <v>8</v>
      </c>
      <c r="L138" t="s">
        <v>14</v>
      </c>
    </row>
    <row r="139" spans="1:20">
      <c r="A139" t="s">
        <v>379</v>
      </c>
      <c r="B139" t="s">
        <v>16</v>
      </c>
      <c r="C139" s="3">
        <v>1</v>
      </c>
      <c r="D139" t="s">
        <v>14</v>
      </c>
      <c r="I139" t="s">
        <v>365</v>
      </c>
      <c r="J139" t="s">
        <v>16</v>
      </c>
      <c r="K139" s="3">
        <v>1</v>
      </c>
      <c r="L139" t="s">
        <v>14</v>
      </c>
    </row>
    <row r="140" spans="1:20">
      <c r="A140" t="s">
        <v>380</v>
      </c>
      <c r="B140" t="s">
        <v>16</v>
      </c>
      <c r="C140" s="3">
        <v>1</v>
      </c>
      <c r="D140" t="s">
        <v>14</v>
      </c>
      <c r="I140" t="s">
        <v>344</v>
      </c>
      <c r="J140" t="s">
        <v>16</v>
      </c>
      <c r="K140" s="3">
        <v>1</v>
      </c>
      <c r="L140" t="s">
        <v>14</v>
      </c>
    </row>
    <row r="141" spans="1:20">
      <c r="A141" t="s">
        <v>381</v>
      </c>
      <c r="B141" t="s">
        <v>19</v>
      </c>
      <c r="C141" s="3">
        <v>50</v>
      </c>
      <c r="D141" t="s">
        <v>6</v>
      </c>
      <c r="I141" t="s">
        <v>345</v>
      </c>
      <c r="J141" t="s">
        <v>16</v>
      </c>
      <c r="K141" s="3">
        <v>1</v>
      </c>
      <c r="L141" t="s">
        <v>14</v>
      </c>
    </row>
    <row r="142" spans="1:20">
      <c r="A142" t="s">
        <v>342</v>
      </c>
      <c r="B142" t="s">
        <v>13</v>
      </c>
      <c r="C142" s="3">
        <v>8</v>
      </c>
      <c r="D142" t="s">
        <v>14</v>
      </c>
      <c r="I142" t="s">
        <v>346</v>
      </c>
      <c r="J142" t="s">
        <v>16</v>
      </c>
      <c r="K142" s="3">
        <v>1</v>
      </c>
      <c r="L142" t="s">
        <v>14</v>
      </c>
    </row>
    <row r="143" spans="1:20">
      <c r="A143" t="s">
        <v>369</v>
      </c>
      <c r="B143" t="s">
        <v>19</v>
      </c>
      <c r="C143" s="3">
        <v>5</v>
      </c>
      <c r="D143" t="s">
        <v>6</v>
      </c>
      <c r="I143" t="s">
        <v>329</v>
      </c>
      <c r="J143" t="s">
        <v>16</v>
      </c>
      <c r="K143" s="3">
        <v>1</v>
      </c>
      <c r="L143" t="s">
        <v>14</v>
      </c>
    </row>
    <row r="144" spans="1:20">
      <c r="A144" t="s">
        <v>370</v>
      </c>
      <c r="B144" t="s">
        <v>13</v>
      </c>
      <c r="C144" s="3">
        <v>8</v>
      </c>
      <c r="D144" t="s">
        <v>14</v>
      </c>
      <c r="I144" t="s">
        <v>330</v>
      </c>
      <c r="J144" t="s">
        <v>19</v>
      </c>
      <c r="K144" s="3">
        <v>1</v>
      </c>
      <c r="L144" t="s">
        <v>6</v>
      </c>
    </row>
    <row r="145" spans="1:12">
      <c r="A145" t="s">
        <v>382</v>
      </c>
      <c r="B145" t="s">
        <v>16</v>
      </c>
      <c r="C145" s="3">
        <v>1</v>
      </c>
      <c r="D145" t="s">
        <v>14</v>
      </c>
      <c r="I145" t="s">
        <v>347</v>
      </c>
      <c r="J145" t="s">
        <v>16</v>
      </c>
      <c r="K145" s="3">
        <v>1</v>
      </c>
      <c r="L145" t="s">
        <v>14</v>
      </c>
    </row>
    <row r="146" spans="1:12">
      <c r="A146" t="s">
        <v>383</v>
      </c>
      <c r="B146" t="s">
        <v>19</v>
      </c>
      <c r="C146" s="3">
        <v>1</v>
      </c>
      <c r="D146" t="s">
        <v>6</v>
      </c>
      <c r="I146" t="s">
        <v>348</v>
      </c>
      <c r="J146" t="s">
        <v>16</v>
      </c>
      <c r="K146" s="3">
        <v>1</v>
      </c>
      <c r="L146" t="s">
        <v>14</v>
      </c>
    </row>
    <row r="147" spans="1:12">
      <c r="A147" t="s">
        <v>384</v>
      </c>
      <c r="B147" t="s">
        <v>16</v>
      </c>
      <c r="C147" s="3">
        <v>1</v>
      </c>
      <c r="D147" t="s">
        <v>14</v>
      </c>
      <c r="I147" t="s">
        <v>349</v>
      </c>
      <c r="J147" t="s">
        <v>16</v>
      </c>
      <c r="K147" s="3">
        <v>1</v>
      </c>
      <c r="L147" t="s">
        <v>14</v>
      </c>
    </row>
    <row r="148" spans="1:12">
      <c r="A148" t="s">
        <v>385</v>
      </c>
      <c r="B148" t="s">
        <v>16</v>
      </c>
      <c r="C148" s="3">
        <v>1</v>
      </c>
      <c r="D148" t="s">
        <v>14</v>
      </c>
      <c r="I148" t="s">
        <v>360</v>
      </c>
      <c r="J148" t="s">
        <v>13</v>
      </c>
      <c r="K148" s="3">
        <v>8</v>
      </c>
      <c r="L148" t="s">
        <v>14</v>
      </c>
    </row>
    <row r="149" spans="1:12">
      <c r="A149" t="s">
        <v>386</v>
      </c>
      <c r="B149" t="s">
        <v>16</v>
      </c>
      <c r="C149" s="3">
        <v>1</v>
      </c>
      <c r="D149" t="s">
        <v>14</v>
      </c>
      <c r="I149" t="s">
        <v>395</v>
      </c>
      <c r="J149" t="s">
        <v>16</v>
      </c>
      <c r="K149" s="3">
        <v>1</v>
      </c>
      <c r="L149" t="s">
        <v>14</v>
      </c>
    </row>
    <row r="150" spans="1:12">
      <c r="A150" t="s">
        <v>345</v>
      </c>
      <c r="B150" t="s">
        <v>16</v>
      </c>
      <c r="C150" s="3">
        <v>1</v>
      </c>
      <c r="D150" t="s">
        <v>14</v>
      </c>
      <c r="I150" t="s">
        <v>350</v>
      </c>
      <c r="J150" t="s">
        <v>13</v>
      </c>
      <c r="K150" s="3">
        <v>8</v>
      </c>
      <c r="L150" t="s">
        <v>14</v>
      </c>
    </row>
    <row r="151" spans="1:12">
      <c r="A151" t="s">
        <v>346</v>
      </c>
      <c r="B151" t="s">
        <v>16</v>
      </c>
      <c r="C151" s="3">
        <v>1</v>
      </c>
      <c r="D151" t="s">
        <v>14</v>
      </c>
      <c r="I151" t="s">
        <v>351</v>
      </c>
      <c r="J151" t="s">
        <v>19</v>
      </c>
      <c r="K151" s="3">
        <v>1</v>
      </c>
      <c r="L151" t="s">
        <v>6</v>
      </c>
    </row>
    <row r="152" spans="1:12">
      <c r="A152" t="s">
        <v>387</v>
      </c>
      <c r="B152" t="s">
        <v>13</v>
      </c>
      <c r="C152" s="3">
        <v>8</v>
      </c>
      <c r="D152" t="s">
        <v>14</v>
      </c>
      <c r="I152" t="s">
        <v>352</v>
      </c>
      <c r="J152" t="s">
        <v>19</v>
      </c>
      <c r="K152" s="3">
        <v>1</v>
      </c>
      <c r="L152" t="s">
        <v>6</v>
      </c>
    </row>
    <row r="153" spans="1:12">
      <c r="A153" t="s">
        <v>388</v>
      </c>
      <c r="B153" t="s">
        <v>16</v>
      </c>
      <c r="C153" s="3">
        <v>1</v>
      </c>
      <c r="D153" t="s">
        <v>14</v>
      </c>
      <c r="I153" t="s">
        <v>353</v>
      </c>
      <c r="J153" t="s">
        <v>19</v>
      </c>
      <c r="K153" s="3">
        <v>1</v>
      </c>
      <c r="L153" t="s">
        <v>6</v>
      </c>
    </row>
    <row r="154" spans="1:12">
      <c r="A154" t="s">
        <v>360</v>
      </c>
      <c r="B154" t="s">
        <v>13</v>
      </c>
      <c r="C154" s="3">
        <v>8</v>
      </c>
      <c r="D154" t="s">
        <v>14</v>
      </c>
      <c r="I154" t="s">
        <v>354</v>
      </c>
      <c r="J154" t="s">
        <v>13</v>
      </c>
      <c r="K154" s="3">
        <v>8</v>
      </c>
      <c r="L154" t="s">
        <v>14</v>
      </c>
    </row>
    <row r="155" spans="1:12">
      <c r="A155" t="s">
        <v>372</v>
      </c>
      <c r="B155" t="s">
        <v>13</v>
      </c>
      <c r="C155" s="3">
        <v>8</v>
      </c>
      <c r="D155" t="s">
        <v>14</v>
      </c>
      <c r="I155" t="s">
        <v>355</v>
      </c>
      <c r="J155" t="s">
        <v>16</v>
      </c>
      <c r="K155" s="3">
        <v>1</v>
      </c>
      <c r="L155" t="s">
        <v>14</v>
      </c>
    </row>
    <row r="156" spans="1:12">
      <c r="A156" t="s">
        <v>371</v>
      </c>
      <c r="B156" t="s">
        <v>16</v>
      </c>
      <c r="C156" s="3">
        <v>1</v>
      </c>
      <c r="D156" t="s">
        <v>14</v>
      </c>
      <c r="I156" t="s">
        <v>366</v>
      </c>
      <c r="J156" t="s">
        <v>16</v>
      </c>
      <c r="K156" s="3">
        <v>1</v>
      </c>
      <c r="L156" t="s">
        <v>14</v>
      </c>
    </row>
    <row r="157" spans="1:12">
      <c r="A157" t="s">
        <v>396</v>
      </c>
      <c r="B157" t="s">
        <v>16</v>
      </c>
      <c r="C157" s="3">
        <v>1</v>
      </c>
      <c r="D157" t="s">
        <v>14</v>
      </c>
      <c r="I157" t="s">
        <v>357</v>
      </c>
      <c r="J157" t="s">
        <v>16</v>
      </c>
      <c r="K157" s="3">
        <v>1</v>
      </c>
      <c r="L157" t="s">
        <v>14</v>
      </c>
    </row>
    <row r="158" spans="1:12">
      <c r="A158" t="s">
        <v>389</v>
      </c>
      <c r="B158" t="s">
        <v>16</v>
      </c>
      <c r="C158" s="3">
        <v>1</v>
      </c>
      <c r="D158" t="s">
        <v>14</v>
      </c>
      <c r="I158" t="s">
        <v>358</v>
      </c>
      <c r="J158" t="s">
        <v>16</v>
      </c>
      <c r="K158" s="3">
        <v>1</v>
      </c>
      <c r="L158" t="s">
        <v>14</v>
      </c>
    </row>
    <row r="159" spans="1:12">
      <c r="A159" t="s">
        <v>390</v>
      </c>
      <c r="B159" t="s">
        <v>16</v>
      </c>
      <c r="C159" s="3">
        <v>1</v>
      </c>
      <c r="D159" t="s">
        <v>14</v>
      </c>
      <c r="I159" t="s">
        <v>359</v>
      </c>
      <c r="J159" t="s">
        <v>11</v>
      </c>
      <c r="K159" s="3">
        <v>4</v>
      </c>
      <c r="L159" t="s">
        <v>14</v>
      </c>
    </row>
    <row r="160" spans="1:12">
      <c r="A160" t="s">
        <v>356</v>
      </c>
      <c r="B160" t="s">
        <v>16</v>
      </c>
      <c r="C160" s="3">
        <v>1</v>
      </c>
      <c r="D160" t="s">
        <v>14</v>
      </c>
      <c r="I160" t="s">
        <v>361</v>
      </c>
      <c r="J160" t="s">
        <v>19</v>
      </c>
      <c r="K160" s="3">
        <v>1</v>
      </c>
      <c r="L160" t="s">
        <v>6</v>
      </c>
    </row>
    <row r="161" spans="1:12">
      <c r="A161" t="s">
        <v>357</v>
      </c>
      <c r="B161" t="s">
        <v>16</v>
      </c>
      <c r="C161" s="3">
        <v>1</v>
      </c>
      <c r="D161" t="s">
        <v>14</v>
      </c>
      <c r="I161" t="s">
        <v>362</v>
      </c>
      <c r="J161" t="s">
        <v>16</v>
      </c>
      <c r="K161" s="3">
        <v>1</v>
      </c>
      <c r="L161" t="s">
        <v>14</v>
      </c>
    </row>
    <row r="162" spans="1:12">
      <c r="A162" t="s">
        <v>391</v>
      </c>
      <c r="B162" t="s">
        <v>16</v>
      </c>
      <c r="C162" s="3">
        <v>1</v>
      </c>
      <c r="D162" t="s">
        <v>14</v>
      </c>
      <c r="I162" t="s">
        <v>363</v>
      </c>
      <c r="J162" t="s">
        <v>16</v>
      </c>
      <c r="K162" s="3">
        <v>1</v>
      </c>
      <c r="L162" t="s">
        <v>14</v>
      </c>
    </row>
    <row r="163" spans="1:12">
      <c r="A163" t="s">
        <v>392</v>
      </c>
      <c r="B163" t="s">
        <v>16</v>
      </c>
      <c r="C163" s="3">
        <v>1</v>
      </c>
      <c r="D163" t="s">
        <v>14</v>
      </c>
      <c r="I163" t="s">
        <v>364</v>
      </c>
      <c r="J163" t="s">
        <v>16</v>
      </c>
      <c r="K163" s="3">
        <v>1</v>
      </c>
      <c r="L163" t="s">
        <v>14</v>
      </c>
    </row>
    <row r="164" spans="1:12">
      <c r="A164" t="s">
        <v>393</v>
      </c>
      <c r="B164" t="s">
        <v>11</v>
      </c>
      <c r="C164" s="3">
        <v>4</v>
      </c>
      <c r="D164" t="s">
        <v>14</v>
      </c>
    </row>
    <row r="165" spans="1:12">
      <c r="A165" t="s">
        <v>361</v>
      </c>
      <c r="B165" t="s">
        <v>19</v>
      </c>
      <c r="C165" s="3">
        <v>1</v>
      </c>
      <c r="D165" t="s">
        <v>6</v>
      </c>
    </row>
    <row r="166" spans="1:12">
      <c r="A166" t="s">
        <v>362</v>
      </c>
      <c r="B166" t="s">
        <v>16</v>
      </c>
      <c r="C166" s="3">
        <v>1</v>
      </c>
      <c r="D166" t="s">
        <v>14</v>
      </c>
    </row>
    <row r="167" spans="1:12">
      <c r="A167" t="s">
        <v>364</v>
      </c>
      <c r="B167" t="s">
        <v>16</v>
      </c>
      <c r="C167" s="3">
        <v>1</v>
      </c>
      <c r="D167" t="s">
        <v>14</v>
      </c>
      <c r="I167" s="19" t="s">
        <v>368</v>
      </c>
    </row>
    <row r="170" spans="1:12">
      <c r="A170" s="19" t="s">
        <v>394</v>
      </c>
    </row>
  </sheetData>
  <sortState xmlns:xlrd2="http://schemas.microsoft.com/office/spreadsheetml/2017/richdata2" ref="Q126:T136">
    <sortCondition ref="Q126:Q136"/>
  </sortState>
  <mergeCells count="10">
    <mergeCell ref="I2:N2"/>
    <mergeCell ref="Q2:V2"/>
    <mergeCell ref="A84:D84"/>
    <mergeCell ref="A94:D94"/>
    <mergeCell ref="A117:D117"/>
    <mergeCell ref="A2:F2"/>
    <mergeCell ref="Q94:T94"/>
    <mergeCell ref="I94:L94"/>
    <mergeCell ref="I117:L117"/>
    <mergeCell ref="Q117:T117"/>
  </mergeCells>
  <hyperlinks>
    <hyperlink ref="I167" r:id="rId1" xr:uid="{00000000-0004-0000-0200-000000000000}"/>
    <hyperlink ref="A170" r:id="rId2" xr:uid="{00000000-0004-0000-0200-000001000000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Estimating Tool Instructions</vt:lpstr>
      <vt:lpstr>Crop Budget (Main)</vt:lpstr>
      <vt:lpstr>Financial Info</vt:lpstr>
      <vt:lpstr>Raised Bed Calculator</vt:lpstr>
      <vt:lpstr>Chart Data</vt:lpstr>
      <vt:lpstr>Charts</vt:lpstr>
      <vt:lpstr>Optimization</vt:lpstr>
      <vt:lpstr>Chemical Master List</vt:lpstr>
      <vt:lpstr>Chemicals</vt:lpstr>
      <vt:lpstr>Foliars</vt:lpstr>
      <vt:lpstr>Fungicides</vt:lpstr>
      <vt:lpstr>'Crop Budget (Main)'!Print_Area</vt:lpstr>
      <vt:lpstr>'Estimating Tool Instructions'!Print_Area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2023-11-07T16:28:12Z</cp:lastPrinted>
  <dcterms:created xsi:type="dcterms:W3CDTF">2018-03-23T14:51:03Z</dcterms:created>
  <dcterms:modified xsi:type="dcterms:W3CDTF">2023-11-27T14:26:56Z</dcterms:modified>
</cp:coreProperties>
</file>